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puts" sheetId="1" r:id="rId4"/>
    <sheet name="Cash-Flow" sheetId="2" r:id="rId5"/>
    <sheet name="15 Year Analysis" sheetId="3" r:id="rId6"/>
    <sheet name="15 Year with Extra Principal" sheetId="4" r:id="rId7"/>
    <sheet name="15 Year with CF to Principal" sheetId="5" r:id="rId8"/>
    <sheet name="What-If" sheetId="6" r:id="rId9"/>
  </sheets>
</workbook>
</file>

<file path=xl/comments1.xml><?xml version="1.0" encoding="utf-8"?>
<comments xmlns="http://schemas.openxmlformats.org/spreadsheetml/2006/main">
  <authors>
    <author>Joseph</author>
  </authors>
  <commentList>
    <comment ref="A13" authorId="0">
      <text>
        <r>
          <rPr>
            <sz val="11"/>
            <color indexed="8"/>
            <rFont val="Helvetica Neue"/>
          </rPr>
          <t xml:space="preserve">Joseph:
20% Minimum on Single Family Residence
25% Minimum on 2-4 Plex 
</t>
        </r>
      </text>
    </comment>
    <comment ref="A16" authorId="0">
      <text>
        <r>
          <rPr>
            <sz val="11"/>
            <color indexed="8"/>
            <rFont val="Helvetica Neue"/>
          </rPr>
          <t xml:space="preserve">Joseph:
Be sure to include: 
Property Insurance for 1 year
Inspection costs
Appraisal costs
Transfer taxes
Title Insurance
Recording Fees
Closing fees 
Other expenses
</t>
        </r>
      </text>
    </comment>
    <comment ref="A24" authorId="0">
      <text>
        <r>
          <rPr>
            <sz val="11"/>
            <color indexed="8"/>
            <rFont val="Helvetica Neue"/>
          </rPr>
          <t>Joseph:
Contact Joe Massey at 303-809-7769 for today's rates.  Or check yesterday's Whiteboard e-mail for a quote on an investment property interest rate</t>
        </r>
      </text>
    </comment>
    <comment ref="A33" authorId="0">
      <text>
        <r>
          <rPr>
            <sz val="11"/>
            <color indexed="8"/>
            <rFont val="Helvetica Neue"/>
          </rPr>
          <t xml:space="preserve">Joseph:
REMEMBER to select the correct number of units above.
</t>
        </r>
      </text>
    </comment>
    <comment ref="A59" authorId="0">
      <text>
        <r>
          <rPr>
            <sz val="11"/>
            <color indexed="8"/>
            <rFont val="Helvetica Neue"/>
          </rPr>
          <t xml:space="preserve">Joseph:
Insert your percentage changes for your "What If" scenarios.  
For example "What if" we got a 5% discount on the price of the property.  
"What If" we increased rents by 10%. 
"What If" we decreased expenses by 10%
</t>
        </r>
      </text>
    </comment>
  </commentList>
</comments>
</file>

<file path=xl/sharedStrings.xml><?xml version="1.0" encoding="utf-8"?>
<sst xmlns="http://schemas.openxmlformats.org/spreadsheetml/2006/main" uniqueCount="133">
  <si>
    <t>Investment Property Analysis Sheet</t>
  </si>
  <si>
    <t>Provided by Joe Massey of Castle &amp; Cooke Mortgage</t>
  </si>
  <si>
    <t>Direct: 303-809-7769 - Email: jmassey@castlecookemortgage.com - Website: http://jmassey.castlecookemortgage.com</t>
  </si>
  <si>
    <t xml:space="preserve">Instructions:  </t>
  </si>
  <si>
    <t xml:space="preserve">1 - Work your way down this sheet inputting the appropriate information in to each highlighted tab. </t>
  </si>
  <si>
    <t xml:space="preserve">2 - Be sure to input the correct number of units for your subject property (SFR through Four-Plex) </t>
  </si>
  <si>
    <t xml:space="preserve">Latest Revision Date: </t>
  </si>
  <si>
    <t>3 - Please note that certain lines have comments to provide additional help for you</t>
  </si>
  <si>
    <t>December 1st, 2017</t>
  </si>
  <si>
    <t>4 - Once the highlighted cells are completed, you can view your results on the Cash-Flow Tab and What-If Tab</t>
  </si>
  <si>
    <t>Property Address</t>
  </si>
  <si>
    <t>Asbury</t>
  </si>
  <si>
    <t>Number of Units</t>
  </si>
  <si>
    <t xml:space="preserve"> </t>
  </si>
  <si>
    <t>Down Payment Percentage</t>
  </si>
  <si>
    <t>Purchase Price</t>
  </si>
  <si>
    <t xml:space="preserve">Acquisition Costs </t>
  </si>
  <si>
    <t>Loan Costs</t>
  </si>
  <si>
    <t xml:space="preserve">Down Payment </t>
  </si>
  <si>
    <t>Mortgage Balance</t>
  </si>
  <si>
    <t>Initial Investment</t>
  </si>
  <si>
    <t>Initial Repair Costs</t>
  </si>
  <si>
    <t>Total Initial Investment</t>
  </si>
  <si>
    <t>Mortgage Interest Rate</t>
  </si>
  <si>
    <t xml:space="preserve">Mortgage Term (years) </t>
  </si>
  <si>
    <t>Extra Principal per Month</t>
  </si>
  <si>
    <t>MONTHLY Rental Income Per Unit</t>
  </si>
  <si>
    <t>Unit #1</t>
  </si>
  <si>
    <t>Unit #2</t>
  </si>
  <si>
    <t>Unit #3</t>
  </si>
  <si>
    <t>Unit #4</t>
  </si>
  <si>
    <t>Total Rental Income</t>
  </si>
  <si>
    <t>Vacancy Factor</t>
  </si>
  <si>
    <t>Annual Rent Increase</t>
  </si>
  <si>
    <t>Annual Appreciation Rate</t>
  </si>
  <si>
    <t>ANNUAL Operating Expenses</t>
  </si>
  <si>
    <t>Comments/Footnotes On Expenses</t>
  </si>
  <si>
    <t>Real Estate Taxes</t>
  </si>
  <si>
    <t>Property Insurance</t>
  </si>
  <si>
    <t>Property Management</t>
  </si>
  <si>
    <t>Standard 10% of gross rents for Property Management</t>
  </si>
  <si>
    <t>Repairs and Maintenance</t>
  </si>
  <si>
    <t>Generally a minimum of 5% for repairs/maintenance</t>
  </si>
  <si>
    <t xml:space="preserve">Utilities (If paid by owner) </t>
  </si>
  <si>
    <t xml:space="preserve"> - Water and Sewer</t>
  </si>
  <si>
    <t xml:space="preserve"> - Trash</t>
  </si>
  <si>
    <t xml:space="preserve"> - Electric</t>
  </si>
  <si>
    <t>Landscaping</t>
  </si>
  <si>
    <t>HOA Dues</t>
  </si>
  <si>
    <t>Other</t>
  </si>
  <si>
    <t>What If Scenarios</t>
  </si>
  <si>
    <t xml:space="preserve">What if you got a discount on the purchase price…  What percentage?  </t>
  </si>
  <si>
    <t xml:space="preserve">What if you lowered expenses…. What percentage? </t>
  </si>
  <si>
    <t xml:space="preserve">What if you increased rents…  What percentage? </t>
  </si>
  <si>
    <t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t>
  </si>
  <si>
    <t xml:space="preserve">Cash Flow Analysis for </t>
  </si>
  <si>
    <r>
      <rPr>
        <b val="1"/>
        <sz val="14"/>
        <color indexed="8"/>
        <rFont val="Calibri"/>
      </rPr>
      <t>Asbury</t>
    </r>
  </si>
  <si>
    <t xml:space="preserve">Number of Units </t>
  </si>
  <si>
    <t>Cash Investment Breakdown</t>
  </si>
  <si>
    <t>Mortgage</t>
  </si>
  <si>
    <t>Down Payment</t>
  </si>
  <si>
    <t>Estimated Finance and Acquisition Costs</t>
  </si>
  <si>
    <t>Repair Costs</t>
  </si>
  <si>
    <t xml:space="preserve">Total Cash Investment </t>
  </si>
  <si>
    <t xml:space="preserve">Annual Cash Flow Statement </t>
  </si>
  <si>
    <t>Annual Income</t>
  </si>
  <si>
    <t>Annual Rental Income</t>
  </si>
  <si>
    <t>per month</t>
  </si>
  <si>
    <t xml:space="preserve"> - Vacancy</t>
  </si>
  <si>
    <t>Expected Annual Rental Income</t>
  </si>
  <si>
    <t>Annual Expenses</t>
  </si>
  <si>
    <t>Comments/Footnotes</t>
  </si>
  <si>
    <r>
      <rPr>
        <sz val="12"/>
        <color indexed="8"/>
        <rFont val="Calibri"/>
      </rPr>
      <t>Standard 10% of gross rents for Property Management</t>
    </r>
  </si>
  <si>
    <r>
      <rPr>
        <sz val="12"/>
        <color indexed="8"/>
        <rFont val="Calibri"/>
      </rPr>
      <t>Generally a minimum of 5% for repairs/maintenance</t>
    </r>
  </si>
  <si>
    <t xml:space="preserve">  Water and Sewer</t>
  </si>
  <si>
    <t xml:space="preserve">  Trash</t>
  </si>
  <si>
    <t xml:space="preserve">  Electric</t>
  </si>
  <si>
    <t>Total Annual Expenses</t>
  </si>
  <si>
    <t>Net Operating Income</t>
  </si>
  <si>
    <t>Less: Annual Mortgage Payments</t>
  </si>
  <si>
    <t>@</t>
  </si>
  <si>
    <t>=</t>
  </si>
  <si>
    <t xml:space="preserve"> per month</t>
  </si>
  <si>
    <t>Annual Cash Flow Before Taxes</t>
  </si>
  <si>
    <t>Cash-on-Cash Rate of Return</t>
  </si>
  <si>
    <t>÷</t>
  </si>
  <si>
    <t>CAP Rate</t>
  </si>
  <si>
    <t>GRM - Gross Rent Multiplier</t>
  </si>
  <si>
    <t xml:space="preserve">5 Year After-Tax Return </t>
  </si>
  <si>
    <t>5 Year After Tax Cash-flows + 5 Year Exit - Capital Gains</t>
  </si>
  <si>
    <r>
      <rPr>
        <sz val="9"/>
        <color indexed="8"/>
        <rFont val="Calibri"/>
      </rPr>
      <t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t>
    </r>
  </si>
  <si>
    <t>Year 1</t>
  </si>
  <si>
    <t>Year 2</t>
  </si>
  <si>
    <t>Year 3</t>
  </si>
  <si>
    <t>Year 4</t>
  </si>
  <si>
    <t>Year 5</t>
  </si>
  <si>
    <t>Year 6</t>
  </si>
  <si>
    <t>Year 7</t>
  </si>
  <si>
    <t>Year 8</t>
  </si>
  <si>
    <t>Year 9</t>
  </si>
  <si>
    <t>Year 10</t>
  </si>
  <si>
    <t>Year 11</t>
  </si>
  <si>
    <t>Year 12</t>
  </si>
  <si>
    <t>Year 13</t>
  </si>
  <si>
    <t>Year 14</t>
  </si>
  <si>
    <t>Year 15</t>
  </si>
  <si>
    <t>Year 16</t>
  </si>
  <si>
    <t>Property Value at End of Year</t>
  </si>
  <si>
    <t>Mortgage Balance at End of Year</t>
  </si>
  <si>
    <t>Total Equity</t>
  </si>
  <si>
    <t>Equity + Cash Flow</t>
  </si>
  <si>
    <t>Total Cash Investment</t>
  </si>
  <si>
    <t>Annual Rate of Return</t>
  </si>
  <si>
    <t>Cumulative Cash Flow</t>
  </si>
  <si>
    <t>Cash on Cash Rate of Return</t>
  </si>
  <si>
    <t>Cumulative Cash and Equity Gain</t>
  </si>
  <si>
    <t>Rate of Return on Initial Cash Investment</t>
  </si>
  <si>
    <t>IRR</t>
  </si>
  <si>
    <t xml:space="preserve">Net Future value after 7% sales cost </t>
  </si>
  <si>
    <t xml:space="preserve">Pre Tax Terminal Value </t>
  </si>
  <si>
    <t>Capital Gain Base</t>
  </si>
  <si>
    <t>Capital Gains Tax at 19.6%</t>
  </si>
  <si>
    <t xml:space="preserve">After Tax Terminal Value </t>
  </si>
  <si>
    <t xml:space="preserve">"What-If" Analysis for </t>
  </si>
  <si>
    <t>What If…</t>
  </si>
  <si>
    <t>Description</t>
  </si>
  <si>
    <t>Actual from Cash Flow Analysis</t>
  </si>
  <si>
    <t>…we purchased the property at a discount</t>
  </si>
  <si>
    <t xml:space="preserve">…we increased rents. </t>
  </si>
  <si>
    <t>…we decreased expenses</t>
  </si>
  <si>
    <t>…we purchased at a discount, increased rents and decreased expenses</t>
  </si>
  <si>
    <t>Estimated Prepaid Costs</t>
  </si>
  <si>
    <t>Estimated Fincnace Costs</t>
  </si>
</sst>
</file>

<file path=xl/styles.xml><?xml version="1.0" encoding="utf-8"?>
<styleSheet xmlns="http://schemas.openxmlformats.org/spreadsheetml/2006/main">
  <numFmts count="11">
    <numFmt numFmtId="0" formatCode="General"/>
    <numFmt numFmtId="59" formatCode="&quot; &quot;&quot;$&quot;* #,##0&quot; &quot;;&quot; &quot;&quot;$&quot;* (#,##0);&quot; &quot;&quot;$&quot;* &quot;-&quot;??&quot; &quot;"/>
    <numFmt numFmtId="60" formatCode="&quot; &quot;&quot;$&quot;* #,##0.00&quot; &quot;;&quot; &quot;&quot;$&quot;* (#,##0.00);&quot; &quot;&quot;$&quot;* &quot;-&quot;??&quot; &quot;"/>
    <numFmt numFmtId="61" formatCode="0.000%"/>
    <numFmt numFmtId="62" formatCode="&quot;$&quot;#,##0"/>
    <numFmt numFmtId="63" formatCode="0.0%"/>
    <numFmt numFmtId="64" formatCode="&quot; &quot;&quot;$&quot;* #,##0&quot; &quot;;&quot; &quot;&quot;$&quot;* (#,##0);&quot; &quot;&quot;$&quot;* &quot;-&quot;?&quot; &quot;"/>
    <numFmt numFmtId="65" formatCode="&quot; &quot;&quot;$&quot;* #,##0&quot; &quot;;&quot; &quot;&quot;$&quot;* (#,##0);&quot; &quot;&quot;$&quot;* &quot;- &quot;"/>
    <numFmt numFmtId="66" formatCode="&quot; &quot;* #,##0.00&quot; &quot;;&quot; &quot;* (#,##0.00);&quot; &quot;* &quot;-&quot;??&quot; &quot;"/>
    <numFmt numFmtId="67" formatCode="&quot;$&quot;#,##0.00"/>
    <numFmt numFmtId="68" formatCode="0.0"/>
  </numFmts>
  <fonts count="18">
    <font>
      <sz val="11"/>
      <color indexed="8"/>
      <name val="Calibri"/>
    </font>
    <font>
      <sz val="12"/>
      <color indexed="8"/>
      <name val="Helvetica Neue"/>
    </font>
    <font>
      <sz val="14"/>
      <color indexed="8"/>
      <name val="Calibri"/>
    </font>
    <font>
      <b val="1"/>
      <u val="single"/>
      <sz val="20"/>
      <color indexed="8"/>
      <name val="Calibri"/>
    </font>
    <font>
      <sz val="11"/>
      <color indexed="11"/>
      <name val="Calibri"/>
    </font>
    <font>
      <b val="1"/>
      <sz val="14"/>
      <color indexed="8"/>
      <name val="Calibri"/>
    </font>
    <font>
      <b val="1"/>
      <sz val="11"/>
      <color indexed="8"/>
      <name val="Calibri"/>
    </font>
    <font>
      <b val="1"/>
      <sz val="14"/>
      <color indexed="13"/>
      <name val="Calibri"/>
    </font>
    <font>
      <sz val="11"/>
      <color indexed="8"/>
      <name val="Helvetica Neue"/>
    </font>
    <font>
      <b val="1"/>
      <sz val="11"/>
      <color indexed="13"/>
      <name val="Calibri"/>
    </font>
    <font>
      <b val="1"/>
      <sz val="12"/>
      <color indexed="13"/>
      <name val="Calibri"/>
    </font>
    <font>
      <b val="1"/>
      <sz val="12"/>
      <color indexed="8"/>
      <name val="Calibri"/>
    </font>
    <font>
      <sz val="12"/>
      <color indexed="8"/>
      <name val="Calibri"/>
    </font>
    <font>
      <b val="1"/>
      <i val="1"/>
      <sz val="12"/>
      <color indexed="8"/>
      <name val="Calibri"/>
    </font>
    <font>
      <sz val="14"/>
      <color indexed="8"/>
      <name val="Calibri"/>
    </font>
    <font>
      <sz val="9"/>
      <color indexed="8"/>
      <name val="Calibri"/>
    </font>
    <font>
      <sz val="9"/>
      <color indexed="14"/>
      <name val="Calibri"/>
    </font>
    <font>
      <sz val="11"/>
      <color indexed="14"/>
      <name val="Calibri"/>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s>
  <borders count="28">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thin">
        <color indexed="8"/>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bottom style="medium">
        <color indexed="8"/>
      </bottom>
      <diagonal/>
    </border>
    <border>
      <left/>
      <right/>
      <top style="medium">
        <color indexed="8"/>
      </top>
      <bottom/>
      <diagonal/>
    </border>
    <border>
      <left/>
      <right/>
      <top style="medium">
        <color indexed="8"/>
      </top>
      <bottom style="thin">
        <color indexed="8"/>
      </bottom>
      <diagonal/>
    </border>
    <border>
      <left/>
      <right/>
      <top style="thin">
        <color indexed="8"/>
      </top>
      <bottom style="thin">
        <color indexed="8"/>
      </bottom>
      <diagonal/>
    </border>
    <border>
      <left/>
      <right style="thin">
        <color indexed="10"/>
      </right>
      <top/>
      <bottom style="thin">
        <color indexed="8"/>
      </bottom>
      <diagonal/>
    </border>
    <border>
      <left/>
      <right style="thin">
        <color indexed="10"/>
      </right>
      <top style="thin">
        <color indexed="8"/>
      </top>
      <bottom/>
      <diagonal/>
    </border>
    <border>
      <left/>
      <right style="thin">
        <color indexed="10"/>
      </right>
      <top/>
      <bottom style="medium">
        <color indexed="8"/>
      </bottom>
      <diagonal/>
    </border>
    <border>
      <left/>
      <right style="thin">
        <color indexed="10"/>
      </right>
      <top style="medium">
        <color indexed="8"/>
      </top>
      <bottom/>
      <diagonal/>
    </border>
    <border>
      <left/>
      <right style="thin">
        <color indexed="10"/>
      </right>
      <top style="medium">
        <color indexed="8"/>
      </top>
      <bottom style="thin">
        <color indexed="8"/>
      </bottom>
      <diagonal/>
    </border>
    <border>
      <left/>
      <right/>
      <top style="thin">
        <color indexed="8"/>
      </top>
      <bottom style="medium">
        <color indexed="8"/>
      </bottom>
      <diagonal/>
    </border>
    <border>
      <left/>
      <right style="thin">
        <color indexed="10"/>
      </right>
      <top style="thin">
        <color indexed="8"/>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s>
  <cellStyleXfs count="1">
    <xf numFmtId="0" fontId="0" applyNumberFormat="0" applyFont="1" applyFill="0" applyBorder="0" applyAlignment="1" applyProtection="0">
      <alignment vertical="bottom"/>
    </xf>
  </cellStyleXfs>
  <cellXfs count="220">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bottom"/>
    </xf>
    <xf numFmtId="0" fontId="3" fillId="2" borderId="2" applyNumberFormat="0" applyFont="1" applyFill="1" applyBorder="1" applyAlignment="1" applyProtection="0">
      <alignment horizontal="center" vertical="bottom"/>
    </xf>
    <xf numFmtId="0" fontId="0" fillId="3" borderId="2" applyNumberFormat="0" applyFont="1" applyFill="1" applyBorder="1" applyAlignment="1" applyProtection="0">
      <alignment vertical="bottom"/>
    </xf>
    <xf numFmtId="0" fontId="4" fillId="3" borderId="2" applyNumberFormat="1" applyFont="1" applyFill="1" applyBorder="1" applyAlignment="1" applyProtection="0">
      <alignment vertical="bottom"/>
    </xf>
    <xf numFmtId="0" fontId="0" fillId="3" borderId="3" applyNumberFormat="0" applyFont="1" applyFill="1" applyBorder="1" applyAlignment="1" applyProtection="0">
      <alignment vertical="bottom"/>
    </xf>
    <xf numFmtId="49" fontId="5" fillId="2" borderId="4" applyNumberFormat="1" applyFont="1" applyFill="1" applyBorder="1" applyAlignment="1" applyProtection="0">
      <alignment horizontal="center" vertical="bottom"/>
    </xf>
    <xf numFmtId="0" fontId="5" fillId="2" borderId="5" applyNumberFormat="0" applyFont="1" applyFill="1" applyBorder="1" applyAlignment="1" applyProtection="0">
      <alignment horizontal="center" vertical="bottom"/>
    </xf>
    <xf numFmtId="0" fontId="0" fillId="3" borderId="5" applyNumberFormat="0" applyFont="1" applyFill="1" applyBorder="1" applyAlignment="1" applyProtection="0">
      <alignment vertical="bottom"/>
    </xf>
    <xf numFmtId="0" fontId="4" fillId="3" borderId="5" applyNumberFormat="1" applyFont="1" applyFill="1" applyBorder="1" applyAlignment="1" applyProtection="0">
      <alignment vertical="bottom"/>
    </xf>
    <xf numFmtId="0" fontId="0" fillId="3" borderId="6" applyNumberFormat="0" applyFont="1" applyFill="1" applyBorder="1" applyAlignment="1" applyProtection="0">
      <alignment vertical="bottom"/>
    </xf>
    <xf numFmtId="0" fontId="0" fillId="2" borderId="4" applyNumberFormat="0" applyFont="1" applyFill="1" applyBorder="1" applyAlignment="1" applyProtection="0">
      <alignment horizontal="center" vertical="bottom" wrapText="1"/>
    </xf>
    <xf numFmtId="0" fontId="0" fillId="2" borderId="5" applyNumberFormat="0" applyFont="1" applyFill="1" applyBorder="1" applyAlignment="1" applyProtection="0">
      <alignment vertical="bottom"/>
    </xf>
    <xf numFmtId="49" fontId="6" fillId="2" borderId="5" applyNumberFormat="1" applyFont="1" applyFill="1" applyBorder="1" applyAlignment="1" applyProtection="0">
      <alignment horizontal="center" vertical="bottom"/>
    </xf>
    <xf numFmtId="0" fontId="0" fillId="2" borderId="5" applyNumberFormat="0" applyFont="1" applyFill="1" applyBorder="1" applyAlignment="1" applyProtection="0">
      <alignment horizontal="center" vertical="bottom" wrapText="1"/>
    </xf>
    <xf numFmtId="0" fontId="0" fillId="2" borderId="5" applyNumberFormat="0" applyFont="1" applyFill="1" applyBorder="1" applyAlignment="1" applyProtection="0">
      <alignment horizontal="center" vertical="bottom"/>
    </xf>
    <xf numFmtId="49" fontId="6" fillId="2" borderId="4" applyNumberFormat="1" applyFont="1" applyFill="1" applyBorder="1" applyAlignment="1" applyProtection="0">
      <alignment horizontal="center" vertical="bottom" wrapText="1"/>
    </xf>
    <xf numFmtId="49" fontId="0" fillId="2" borderId="5" applyNumberFormat="1" applyFont="1" applyFill="1" applyBorder="1" applyAlignment="1" applyProtection="0">
      <alignment horizontal="left" vertical="bottom" wrapText="1"/>
    </xf>
    <xf numFmtId="0" fontId="0" fillId="2" borderId="5" applyNumberFormat="0" applyFont="1" applyFill="1" applyBorder="1" applyAlignment="1" applyProtection="0">
      <alignment horizontal="left" vertical="bottom" wrapText="1"/>
    </xf>
    <xf numFmtId="0" fontId="4" fillId="3" borderId="5" applyNumberFormat="0" applyFont="1" applyFill="1" applyBorder="1" applyAlignment="1" applyProtection="0">
      <alignment vertical="bottom"/>
    </xf>
    <xf numFmtId="0" fontId="6" fillId="2" borderId="4" applyNumberFormat="0" applyFont="1" applyFill="1" applyBorder="1" applyAlignment="1" applyProtection="0">
      <alignment horizontal="center" vertical="bottom" wrapText="1"/>
    </xf>
    <xf numFmtId="49" fontId="0" fillId="2" borderId="5" applyNumberFormat="1" applyFont="1" applyFill="1" applyBorder="1" applyAlignment="1" applyProtection="0">
      <alignment horizontal="left" vertical="bottom"/>
    </xf>
    <xf numFmtId="0" fontId="0" fillId="2" borderId="5" applyNumberFormat="0" applyFont="1" applyFill="1" applyBorder="1" applyAlignment="1" applyProtection="0">
      <alignment horizontal="left" vertical="bottom"/>
    </xf>
    <xf numFmtId="0" fontId="0" fillId="2" borderId="4" applyNumberFormat="0" applyFont="1" applyFill="1" applyBorder="1" applyAlignment="1" applyProtection="0">
      <alignment vertical="bottom"/>
    </xf>
    <xf numFmtId="49" fontId="6" fillId="2" borderId="4" applyNumberFormat="1" applyFont="1" applyFill="1" applyBorder="1" applyAlignment="1" applyProtection="0">
      <alignment vertical="bottom"/>
    </xf>
    <xf numFmtId="49" fontId="0" fillId="4" borderId="7" applyNumberFormat="1" applyFont="1" applyFill="1" applyBorder="1" applyAlignment="1" applyProtection="0">
      <alignment horizontal="center" vertical="bottom"/>
    </xf>
    <xf numFmtId="0" fontId="0" fillId="4" borderId="8" applyNumberFormat="1" applyFont="1" applyFill="1" applyBorder="1" applyAlignment="1" applyProtection="0">
      <alignment horizontal="center" vertical="bottom"/>
    </xf>
    <xf numFmtId="49" fontId="7" fillId="2" borderId="5" applyNumberFormat="1" applyFont="1" applyFill="1" applyBorder="1" applyAlignment="1" applyProtection="0">
      <alignment horizontal="center" vertical="center" wrapText="1"/>
    </xf>
    <xf numFmtId="0" fontId="7" fillId="2" borderId="5" applyNumberFormat="0" applyFont="1" applyFill="1" applyBorder="1" applyAlignment="1" applyProtection="0">
      <alignment horizontal="center" vertical="center" wrapText="1"/>
    </xf>
    <xf numFmtId="9" fontId="0" fillId="4" borderId="5" applyNumberFormat="1" applyFont="1" applyFill="1" applyBorder="1" applyAlignment="1" applyProtection="0">
      <alignment horizontal="center" vertical="bottom"/>
    </xf>
    <xf numFmtId="59" fontId="0" fillId="4" borderId="5" applyNumberFormat="1" applyFont="1" applyFill="1" applyBorder="1" applyAlignment="1" applyProtection="0">
      <alignment horizontal="left" vertical="bottom"/>
    </xf>
    <xf numFmtId="59" fontId="0" fillId="2" borderId="5" applyNumberFormat="1" applyFont="1" applyFill="1" applyBorder="1" applyAlignment="1" applyProtection="0">
      <alignment horizontal="left" vertical="bottom"/>
    </xf>
    <xf numFmtId="59" fontId="0" fillId="2" borderId="5" applyNumberFormat="1" applyFont="1" applyFill="1" applyBorder="1" applyAlignment="1" applyProtection="0">
      <alignment vertical="bottom"/>
    </xf>
    <xf numFmtId="60" fontId="0" fillId="4" borderId="5" applyNumberFormat="1" applyFont="1" applyFill="1" applyBorder="1" applyAlignment="1" applyProtection="0">
      <alignment horizontal="left" vertical="bottom"/>
    </xf>
    <xf numFmtId="61" fontId="0" fillId="4" borderId="5" applyNumberFormat="1" applyFont="1" applyFill="1" applyBorder="1" applyAlignment="1" applyProtection="0">
      <alignment horizontal="center" vertical="bottom"/>
    </xf>
    <xf numFmtId="1" fontId="0" fillId="4" borderId="5" applyNumberFormat="1" applyFont="1" applyFill="1" applyBorder="1" applyAlignment="1" applyProtection="0">
      <alignment horizontal="center" vertical="bottom"/>
    </xf>
    <xf numFmtId="49" fontId="6" fillId="2" borderId="4" applyNumberFormat="1" applyFont="1" applyFill="1" applyBorder="1" applyAlignment="1" applyProtection="0">
      <alignment horizontal="center" vertical="bottom"/>
    </xf>
    <xf numFmtId="0" fontId="6" fillId="2" borderId="5" applyNumberFormat="0" applyFont="1" applyFill="1" applyBorder="1" applyAlignment="1" applyProtection="0">
      <alignment horizontal="center" vertical="bottom"/>
    </xf>
    <xf numFmtId="49" fontId="0" fillId="2" borderId="4" applyNumberFormat="1" applyFont="1" applyFill="1" applyBorder="1" applyAlignment="1" applyProtection="0">
      <alignment horizontal="center" vertical="bottom"/>
    </xf>
    <xf numFmtId="62" fontId="0" fillId="3" borderId="5" applyNumberFormat="1" applyFont="1" applyFill="1" applyBorder="1" applyAlignment="1" applyProtection="0">
      <alignment vertical="bottom"/>
    </xf>
    <xf numFmtId="59" fontId="0" fillId="4" borderId="5" applyNumberFormat="1" applyFont="1" applyFill="1" applyBorder="1" applyAlignment="1" applyProtection="0">
      <alignment horizontal="center" vertical="bottom"/>
    </xf>
    <xf numFmtId="49" fontId="9" fillId="2" borderId="5" applyNumberFormat="1" applyFont="1" applyFill="1" applyBorder="1" applyAlignment="1" applyProtection="0">
      <alignment vertical="bottom"/>
    </xf>
    <xf numFmtId="59" fontId="0" fillId="3" borderId="5" applyNumberFormat="1" applyFont="1" applyFill="1" applyBorder="1" applyAlignment="1" applyProtection="0">
      <alignment vertical="bottom"/>
    </xf>
    <xf numFmtId="59" fontId="0" fillId="2" borderId="5" applyNumberFormat="1" applyFont="1" applyFill="1" applyBorder="1" applyAlignment="1" applyProtection="0">
      <alignment horizontal="center" vertical="bottom"/>
    </xf>
    <xf numFmtId="0" fontId="6" fillId="2" borderId="4" applyNumberFormat="0" applyFont="1" applyFill="1" applyBorder="1" applyAlignment="1" applyProtection="0">
      <alignment horizontal="center" vertical="bottom"/>
    </xf>
    <xf numFmtId="9" fontId="0" fillId="2" borderId="5" applyNumberFormat="1" applyFont="1" applyFill="1" applyBorder="1" applyAlignment="1" applyProtection="0">
      <alignment horizontal="center" vertical="bottom"/>
    </xf>
    <xf numFmtId="49" fontId="10" fillId="2" borderId="5" applyNumberFormat="1" applyFont="1" applyFill="1" applyBorder="1" applyAlignment="1" applyProtection="0">
      <alignment horizontal="center" vertical="center" wrapText="1"/>
    </xf>
    <xf numFmtId="0" fontId="10" fillId="2" borderId="5" applyNumberFormat="0" applyFont="1" applyFill="1" applyBorder="1" applyAlignment="1" applyProtection="0">
      <alignment horizontal="center" vertical="center" wrapText="1"/>
    </xf>
    <xf numFmtId="63" fontId="0" fillId="4" borderId="5" applyNumberFormat="1" applyFont="1" applyFill="1" applyBorder="1" applyAlignment="1" applyProtection="0">
      <alignment horizontal="center" vertical="bottom"/>
    </xf>
    <xf numFmtId="49" fontId="0" fillId="2" borderId="4" applyNumberFormat="1" applyFont="1" applyFill="1" applyBorder="1" applyAlignment="1" applyProtection="0">
      <alignment vertical="bottom"/>
    </xf>
    <xf numFmtId="0" fontId="0" fillId="4" borderId="5" applyNumberFormat="1" applyFont="1" applyFill="1" applyBorder="1" applyAlignment="1" applyProtection="0">
      <alignment vertical="bottom"/>
    </xf>
    <xf numFmtId="49" fontId="0" fillId="4" borderId="5" applyNumberFormat="1" applyFont="1" applyFill="1" applyBorder="1" applyAlignment="1" applyProtection="0">
      <alignment horizontal="center" vertical="bottom"/>
    </xf>
    <xf numFmtId="64" fontId="0" fillId="4" borderId="5" applyNumberFormat="1" applyFont="1" applyFill="1" applyBorder="1" applyAlignment="1" applyProtection="0">
      <alignment horizontal="left" vertical="bottom"/>
    </xf>
    <xf numFmtId="59" fontId="0" fillId="4" borderId="5" applyNumberFormat="1" applyFont="1" applyFill="1" applyBorder="1" applyAlignment="1" applyProtection="0">
      <alignment vertical="bottom"/>
    </xf>
    <xf numFmtId="0" fontId="0" fillId="4" borderId="5" applyNumberFormat="0" applyFont="1" applyFill="1" applyBorder="1" applyAlignment="1" applyProtection="0">
      <alignment vertical="bottom"/>
    </xf>
    <xf numFmtId="49" fontId="0" fillId="4" borderId="4" applyNumberFormat="1" applyFont="1" applyFill="1" applyBorder="1" applyAlignment="1" applyProtection="0">
      <alignment vertical="bottom"/>
    </xf>
    <xf numFmtId="9" fontId="0" fillId="4" borderId="5" applyNumberFormat="1" applyFont="1" applyFill="1" applyBorder="1" applyAlignment="1" applyProtection="0">
      <alignment vertical="bottom"/>
    </xf>
    <xf numFmtId="49" fontId="0" fillId="2" borderId="4" applyNumberFormat="1" applyFont="1" applyFill="1" applyBorder="1" applyAlignment="1" applyProtection="0">
      <alignment horizontal="center" vertical="bottom" wrapText="1"/>
    </xf>
    <xf numFmtId="0" fontId="0" fillId="2" borderId="9" applyNumberFormat="0" applyFont="1" applyFill="1" applyBorder="1" applyAlignment="1" applyProtection="0">
      <alignment horizontal="center" vertical="bottom" wrapText="1"/>
    </xf>
    <xf numFmtId="0" fontId="0" fillId="2" borderId="10" applyNumberFormat="0" applyFont="1" applyFill="1" applyBorder="1" applyAlignment="1" applyProtection="0">
      <alignment horizontal="center" vertical="bottom" wrapText="1"/>
    </xf>
    <xf numFmtId="0" fontId="0" fillId="3" borderId="10" applyNumberFormat="0" applyFont="1" applyFill="1" applyBorder="1" applyAlignment="1" applyProtection="0">
      <alignment vertical="bottom"/>
    </xf>
    <xf numFmtId="0" fontId="0" fillId="3" borderId="11" applyNumberFormat="0" applyFont="1" applyFill="1" applyBorder="1" applyAlignment="1" applyProtection="0">
      <alignment vertical="bottom"/>
    </xf>
    <xf numFmtId="0" fontId="0" applyNumberFormat="1" applyFont="1" applyFill="0" applyBorder="0" applyAlignment="1" applyProtection="0">
      <alignment vertical="bottom"/>
    </xf>
    <xf numFmtId="49" fontId="5" fillId="2" borderId="1" applyNumberFormat="1" applyFont="1" applyFill="1" applyBorder="1" applyAlignment="1" applyProtection="0">
      <alignment vertical="bottom"/>
    </xf>
    <xf numFmtId="0" fontId="0" fillId="2" borderId="2" applyNumberFormat="0" applyFont="1" applyFill="1" applyBorder="1" applyAlignment="1" applyProtection="0">
      <alignment vertical="bottom"/>
    </xf>
    <xf numFmtId="49" fontId="5" fillId="2" borderId="2" applyNumberFormat="1"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6" applyNumberFormat="0" applyFont="1" applyFill="1" applyBorder="1" applyAlignment="1" applyProtection="0">
      <alignment vertical="bottom"/>
    </xf>
    <xf numFmtId="49" fontId="11" fillId="2" borderId="4" applyNumberFormat="1" applyFont="1" applyFill="1" applyBorder="1" applyAlignment="1" applyProtection="0">
      <alignment vertical="bottom"/>
    </xf>
    <xf numFmtId="0" fontId="12" fillId="2" borderId="5" applyNumberFormat="1" applyFont="1" applyFill="1" applyBorder="1" applyAlignment="1" applyProtection="0">
      <alignment horizontal="center" vertical="bottom"/>
    </xf>
    <xf numFmtId="49" fontId="5" fillId="2" borderId="4" applyNumberFormat="1" applyFont="1" applyFill="1" applyBorder="1" applyAlignment="1" applyProtection="0">
      <alignment vertical="bottom"/>
    </xf>
    <xf numFmtId="49" fontId="12" fillId="2" borderId="4" applyNumberFormat="1" applyFont="1" applyFill="1" applyBorder="1" applyAlignment="1" applyProtection="0">
      <alignment vertical="bottom"/>
    </xf>
    <xf numFmtId="0" fontId="12" fillId="2" borderId="5" applyNumberFormat="0" applyFont="1" applyFill="1" applyBorder="1" applyAlignment="1" applyProtection="0">
      <alignment vertical="bottom"/>
    </xf>
    <xf numFmtId="59" fontId="12" fillId="2" borderId="5" applyNumberFormat="1" applyFont="1" applyFill="1" applyBorder="1" applyAlignment="1" applyProtection="0">
      <alignment vertical="bottom"/>
    </xf>
    <xf numFmtId="59" fontId="12" fillId="2" borderId="12" applyNumberFormat="1" applyFont="1" applyFill="1" applyBorder="1" applyAlignment="1" applyProtection="0">
      <alignment vertical="bottom"/>
    </xf>
    <xf numFmtId="59" fontId="12" fillId="2" borderId="13" applyNumberFormat="1" applyFont="1" applyFill="1" applyBorder="1" applyAlignment="1" applyProtection="0">
      <alignment vertical="bottom"/>
    </xf>
    <xf numFmtId="0" fontId="5" fillId="2" borderId="5" applyNumberFormat="0" applyFont="1" applyFill="1" applyBorder="1" applyAlignment="1" applyProtection="0">
      <alignment vertical="bottom"/>
    </xf>
    <xf numFmtId="59" fontId="5" fillId="2" borderId="14" applyNumberFormat="1" applyFont="1" applyFill="1" applyBorder="1" applyAlignment="1" applyProtection="0">
      <alignment vertical="bottom"/>
    </xf>
    <xf numFmtId="0" fontId="0" fillId="2" borderId="8" applyNumberFormat="0" applyFont="1" applyFill="1" applyBorder="1" applyAlignment="1" applyProtection="0">
      <alignment vertical="bottom"/>
    </xf>
    <xf numFmtId="49" fontId="13" fillId="2" borderId="4" applyNumberFormat="1" applyFont="1" applyFill="1" applyBorder="1" applyAlignment="1" applyProtection="0">
      <alignment vertical="bottom"/>
    </xf>
    <xf numFmtId="65" fontId="12" fillId="2" borderId="5" applyNumberFormat="1" applyFont="1" applyFill="1" applyBorder="1" applyAlignment="1" applyProtection="0">
      <alignment vertical="bottom"/>
    </xf>
    <xf numFmtId="62" fontId="12" fillId="2" borderId="7" applyNumberFormat="1" applyFont="1" applyFill="1" applyBorder="1" applyAlignment="1" applyProtection="0">
      <alignment horizontal="center" vertical="bottom"/>
    </xf>
    <xf numFmtId="49" fontId="12" fillId="2" borderId="7" applyNumberFormat="1" applyFont="1" applyFill="1" applyBorder="1" applyAlignment="1" applyProtection="0">
      <alignment vertical="bottom"/>
    </xf>
    <xf numFmtId="0" fontId="12" fillId="2" borderId="7" applyNumberFormat="0" applyFont="1" applyFill="1" applyBorder="1" applyAlignment="1" applyProtection="0">
      <alignment vertical="bottom"/>
    </xf>
    <xf numFmtId="9" fontId="12" fillId="2" borderId="5" applyNumberFormat="1" applyFont="1" applyFill="1" applyBorder="1" applyAlignment="1" applyProtection="0">
      <alignment horizontal="center" vertical="bottom"/>
    </xf>
    <xf numFmtId="65" fontId="12" fillId="2" borderId="12" applyNumberFormat="1" applyFont="1" applyFill="1" applyBorder="1" applyAlignment="1" applyProtection="0">
      <alignment vertical="bottom"/>
    </xf>
    <xf numFmtId="0" fontId="12" fillId="2" borderId="8" applyNumberFormat="0" applyFont="1" applyFill="1" applyBorder="1" applyAlignment="1" applyProtection="0">
      <alignment vertical="bottom"/>
    </xf>
    <xf numFmtId="0" fontId="11" fillId="2" borderId="5" applyNumberFormat="0" applyFont="1" applyFill="1" applyBorder="1" applyAlignment="1" applyProtection="0">
      <alignment vertical="bottom"/>
    </xf>
    <xf numFmtId="65" fontId="11" fillId="2" borderId="13" applyNumberFormat="1" applyFont="1" applyFill="1" applyBorder="1" applyAlignment="1" applyProtection="0">
      <alignment vertical="bottom"/>
    </xf>
    <xf numFmtId="0" fontId="12" fillId="2" borderId="4" applyNumberFormat="0" applyFont="1" applyFill="1" applyBorder="1" applyAlignment="1" applyProtection="0">
      <alignment vertical="bottom"/>
    </xf>
    <xf numFmtId="49" fontId="12" fillId="2" borderId="5" applyNumberFormat="1" applyFont="1" applyFill="1" applyBorder="1" applyAlignment="1" applyProtection="0">
      <alignment vertical="bottom"/>
    </xf>
    <xf numFmtId="49" fontId="12" fillId="2" borderId="7" applyNumberFormat="1" applyFont="1" applyFill="1" applyBorder="1" applyAlignment="1" applyProtection="0">
      <alignment horizontal="center" vertical="bottom"/>
    </xf>
    <xf numFmtId="66" fontId="12" fillId="2" borderId="7" applyNumberFormat="1" applyFont="1" applyFill="1" applyBorder="1" applyAlignment="1" applyProtection="0">
      <alignment horizontal="center" vertical="bottom"/>
    </xf>
    <xf numFmtId="49" fontId="12" fillId="2" borderId="15" applyNumberFormat="1" applyFont="1" applyFill="1" applyBorder="1" applyAlignment="1" applyProtection="0">
      <alignment horizontal="center" vertical="bottom"/>
    </xf>
    <xf numFmtId="66" fontId="12" fillId="2" borderId="15" applyNumberFormat="1" applyFont="1" applyFill="1" applyBorder="1" applyAlignment="1" applyProtection="0">
      <alignment horizontal="center" vertical="bottom"/>
    </xf>
    <xf numFmtId="65" fontId="11" fillId="2" borderId="5" applyNumberFormat="1" applyFont="1" applyFill="1" applyBorder="1" applyAlignment="1" applyProtection="0">
      <alignment vertical="bottom"/>
    </xf>
    <xf numFmtId="62" fontId="0" fillId="2" borderId="7" applyNumberFormat="1" applyFont="1" applyFill="1" applyBorder="1" applyAlignment="1" applyProtection="0">
      <alignment horizontal="center" vertical="bottom"/>
    </xf>
    <xf numFmtId="49" fontId="0" fillId="2" borderId="7" applyNumberFormat="1" applyFont="1" applyFill="1" applyBorder="1" applyAlignment="1" applyProtection="0">
      <alignment horizontal="center" vertical="bottom"/>
    </xf>
    <xf numFmtId="61" fontId="0" fillId="2" borderId="7" applyNumberFormat="1" applyFont="1" applyFill="1" applyBorder="1" applyAlignment="1" applyProtection="0">
      <alignment horizontal="center" vertical="bottom"/>
    </xf>
    <xf numFmtId="67" fontId="0" fillId="2" borderId="7" applyNumberFormat="1" applyFont="1" applyFill="1" applyBorder="1" applyAlignment="1" applyProtection="0">
      <alignment horizontal="center" vertical="bottom"/>
    </xf>
    <xf numFmtId="49" fontId="0" fillId="2" borderId="7" applyNumberFormat="1"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14" fillId="2" borderId="5" applyNumberFormat="0" applyFont="1" applyFill="1" applyBorder="1" applyAlignment="1" applyProtection="0">
      <alignment vertical="bottom"/>
    </xf>
    <xf numFmtId="49" fontId="5" fillId="2" borderId="4" applyNumberFormat="1" applyFont="1" applyFill="1" applyBorder="1" applyAlignment="1" applyProtection="0">
      <alignment horizontal="left" vertical="bottom"/>
    </xf>
    <xf numFmtId="9" fontId="5" fillId="2" borderId="7" applyNumberFormat="1" applyFont="1" applyFill="1" applyBorder="1" applyAlignment="1" applyProtection="0">
      <alignment horizontal="center" vertical="bottom"/>
    </xf>
    <xf numFmtId="9" fontId="0" fillId="2" borderId="7" applyNumberFormat="1" applyFont="1" applyFill="1" applyBorder="1" applyAlignment="1" applyProtection="0">
      <alignment horizontal="center" vertical="bottom"/>
    </xf>
    <xf numFmtId="63" fontId="5" fillId="2" borderId="7" applyNumberFormat="1" applyFont="1" applyFill="1" applyBorder="1" applyAlignment="1" applyProtection="0">
      <alignment horizontal="center" vertical="bottom"/>
    </xf>
    <xf numFmtId="63" fontId="0" fillId="2" borderId="7" applyNumberFormat="1" applyFont="1" applyFill="1" applyBorder="1" applyAlignment="1" applyProtection="0">
      <alignment horizontal="center" vertical="bottom"/>
    </xf>
    <xf numFmtId="0" fontId="5" fillId="2" borderId="4" applyNumberFormat="0" applyFont="1" applyFill="1" applyBorder="1" applyAlignment="1" applyProtection="0">
      <alignment vertical="bottom"/>
    </xf>
    <xf numFmtId="63" fontId="5" fillId="2" borderId="8" applyNumberFormat="1" applyFont="1" applyFill="1" applyBorder="1" applyAlignment="1" applyProtection="0">
      <alignment horizontal="center" vertical="bottom"/>
    </xf>
    <xf numFmtId="62" fontId="0" fillId="2" borderId="8" applyNumberFormat="1" applyFont="1" applyFill="1" applyBorder="1" applyAlignment="1" applyProtection="0">
      <alignment horizontal="center" vertical="bottom"/>
    </xf>
    <xf numFmtId="0" fontId="0" fillId="2" borderId="8" applyNumberFormat="0" applyFont="1" applyFill="1" applyBorder="1" applyAlignment="1" applyProtection="0">
      <alignment horizontal="center" vertical="bottom"/>
    </xf>
    <xf numFmtId="63" fontId="0" fillId="2" borderId="8" applyNumberFormat="1" applyFont="1" applyFill="1" applyBorder="1" applyAlignment="1" applyProtection="0">
      <alignment horizontal="center" vertical="bottom"/>
    </xf>
    <xf numFmtId="68" fontId="5" fillId="2" borderId="7" applyNumberFormat="1" applyFont="1" applyFill="1" applyBorder="1" applyAlignment="1" applyProtection="0">
      <alignment horizontal="center" vertical="bottom"/>
    </xf>
    <xf numFmtId="68" fontId="0" fillId="2" borderId="7" applyNumberFormat="1" applyFont="1" applyFill="1" applyBorder="1" applyAlignment="1" applyProtection="0">
      <alignment horizontal="center" vertical="bottom"/>
    </xf>
    <xf numFmtId="62" fontId="0" fillId="2" borderId="16" applyNumberFormat="1" applyFont="1" applyFill="1" applyBorder="1" applyAlignment="1" applyProtection="0">
      <alignment horizontal="center" vertical="bottom"/>
    </xf>
    <xf numFmtId="49" fontId="15" fillId="2" borderId="4" applyNumberFormat="1" applyFont="1" applyFill="1" applyBorder="1" applyAlignment="1" applyProtection="0">
      <alignment horizontal="center" vertical="bottom" wrapText="1"/>
    </xf>
    <xf numFmtId="0" fontId="15" fillId="2" borderId="5" applyNumberFormat="0" applyFont="1" applyFill="1" applyBorder="1" applyAlignment="1" applyProtection="0">
      <alignment horizontal="center" vertical="bottom" wrapText="1"/>
    </xf>
    <xf numFmtId="0" fontId="15" fillId="2" borderId="8" applyNumberFormat="0" applyFont="1" applyFill="1" applyBorder="1" applyAlignment="1" applyProtection="0">
      <alignment horizontal="center" vertical="bottom" wrapText="1"/>
    </xf>
    <xf numFmtId="0" fontId="15" fillId="2" borderId="17" applyNumberFormat="0" applyFont="1" applyFill="1" applyBorder="1" applyAlignment="1" applyProtection="0">
      <alignment horizontal="center" vertical="bottom" wrapText="1"/>
    </xf>
    <xf numFmtId="0" fontId="15" fillId="2" borderId="4" applyNumberFormat="0" applyFont="1" applyFill="1" applyBorder="1" applyAlignment="1" applyProtection="0">
      <alignment horizontal="center" vertical="bottom" wrapText="1"/>
    </xf>
    <xf numFmtId="0" fontId="15" fillId="2" borderId="6" applyNumberFormat="0" applyFont="1" applyFill="1" applyBorder="1" applyAlignment="1" applyProtection="0">
      <alignment horizontal="center" vertical="bottom" wrapText="1"/>
    </xf>
    <xf numFmtId="0" fontId="15" fillId="2" borderId="9" applyNumberFormat="0" applyFont="1" applyFill="1" applyBorder="1" applyAlignment="1" applyProtection="0">
      <alignment horizontal="center" vertical="bottom" wrapText="1"/>
    </xf>
    <xf numFmtId="0" fontId="15" fillId="2" borderId="10" applyNumberFormat="0" applyFont="1" applyFill="1" applyBorder="1" applyAlignment="1" applyProtection="0">
      <alignment horizontal="center" vertical="bottom" wrapText="1"/>
    </xf>
    <xf numFmtId="0" fontId="15" fillId="2" borderId="11" applyNumberFormat="0" applyFont="1" applyFill="1" applyBorder="1" applyAlignment="1" applyProtection="0">
      <alignment horizontal="center" vertical="bottom" wrapText="1"/>
    </xf>
    <xf numFmtId="0" fontId="0" applyNumberFormat="1" applyFont="1" applyFill="0" applyBorder="0" applyAlignment="1" applyProtection="0">
      <alignment vertical="bottom"/>
    </xf>
    <xf numFmtId="49" fontId="5" fillId="2" borderId="5" applyNumberFormat="1" applyFont="1" applyFill="1" applyBorder="1" applyAlignment="1" applyProtection="0">
      <alignment vertical="bottom"/>
    </xf>
    <xf numFmtId="49" fontId="0" fillId="2" borderId="5" applyNumberFormat="1" applyFont="1" applyFill="1" applyBorder="1" applyAlignment="1" applyProtection="0">
      <alignment vertical="bottom"/>
    </xf>
    <xf numFmtId="49" fontId="0" fillId="2" borderId="6" applyNumberFormat="1" applyFont="1" applyFill="1" applyBorder="1" applyAlignment="1" applyProtection="0">
      <alignment vertical="bottom"/>
    </xf>
    <xf numFmtId="65" fontId="0" fillId="2" borderId="5" applyNumberFormat="1" applyFont="1" applyFill="1" applyBorder="1" applyAlignment="1" applyProtection="0">
      <alignment vertical="bottom"/>
    </xf>
    <xf numFmtId="65" fontId="0" fillId="2" borderId="6" applyNumberFormat="1" applyFont="1" applyFill="1" applyBorder="1" applyAlignment="1" applyProtection="0">
      <alignment vertical="bottom"/>
    </xf>
    <xf numFmtId="65" fontId="0" fillId="2" borderId="12" applyNumberFormat="1" applyFont="1" applyFill="1" applyBorder="1" applyAlignment="1" applyProtection="0">
      <alignment vertical="bottom"/>
    </xf>
    <xf numFmtId="65" fontId="0" fillId="2" borderId="18" applyNumberFormat="1" applyFont="1" applyFill="1" applyBorder="1" applyAlignment="1" applyProtection="0">
      <alignment vertical="bottom"/>
    </xf>
    <xf numFmtId="65" fontId="11" fillId="2" borderId="19" applyNumberFormat="1" applyFont="1" applyFill="1" applyBorder="1" applyAlignment="1" applyProtection="0">
      <alignment vertical="bottom"/>
    </xf>
    <xf numFmtId="65" fontId="11" fillId="2" borderId="6" applyNumberFormat="1" applyFont="1" applyFill="1" applyBorder="1" applyAlignment="1" applyProtection="0">
      <alignment vertical="bottom"/>
    </xf>
    <xf numFmtId="65" fontId="12" fillId="2" borderId="6" applyNumberFormat="1" applyFont="1" applyFill="1" applyBorder="1" applyAlignment="1" applyProtection="0">
      <alignment vertical="bottom"/>
    </xf>
    <xf numFmtId="65" fontId="5" fillId="2" borderId="14" applyNumberFormat="1" applyFont="1" applyFill="1" applyBorder="1" applyAlignment="1" applyProtection="0">
      <alignment vertical="bottom"/>
    </xf>
    <xf numFmtId="65" fontId="5" fillId="2" borderId="5" applyNumberFormat="1" applyFont="1" applyFill="1" applyBorder="1" applyAlignment="1" applyProtection="0">
      <alignment vertical="bottom"/>
    </xf>
    <xf numFmtId="65" fontId="5" fillId="2" borderId="20" applyNumberFormat="1" applyFont="1" applyFill="1" applyBorder="1" applyAlignment="1" applyProtection="0">
      <alignment vertical="bottom"/>
    </xf>
    <xf numFmtId="65" fontId="0" fillId="2" borderId="8" applyNumberFormat="1" applyFont="1" applyFill="1" applyBorder="1" applyAlignment="1" applyProtection="0">
      <alignment vertical="bottom"/>
    </xf>
    <xf numFmtId="65" fontId="0" fillId="2" borderId="17" applyNumberFormat="1" applyFont="1" applyFill="1" applyBorder="1" applyAlignment="1" applyProtection="0">
      <alignment vertical="bottom"/>
    </xf>
    <xf numFmtId="65" fontId="12" fillId="2" borderId="7" applyNumberFormat="1" applyFont="1" applyFill="1" applyBorder="1" applyAlignment="1" applyProtection="0">
      <alignment vertical="bottom"/>
    </xf>
    <xf numFmtId="59" fontId="12" fillId="2" borderId="7" applyNumberFormat="1" applyFont="1" applyFill="1" applyBorder="1" applyAlignment="1" applyProtection="0">
      <alignment vertical="bottom"/>
    </xf>
    <xf numFmtId="60" fontId="12" fillId="2" borderId="16" applyNumberFormat="1" applyFont="1" applyFill="1" applyBorder="1" applyAlignment="1" applyProtection="0">
      <alignment vertical="bottom"/>
    </xf>
    <xf numFmtId="65" fontId="12" fillId="2" borderId="21" applyNumberFormat="1" applyFont="1" applyFill="1" applyBorder="1" applyAlignment="1" applyProtection="0">
      <alignment vertical="bottom"/>
    </xf>
    <xf numFmtId="65" fontId="12" fillId="2" borderId="22" applyNumberFormat="1" applyFont="1" applyFill="1" applyBorder="1" applyAlignment="1" applyProtection="0">
      <alignment vertical="bottom"/>
    </xf>
    <xf numFmtId="65" fontId="5" fillId="2" borderId="13" applyNumberFormat="1" applyFont="1" applyFill="1" applyBorder="1" applyAlignment="1" applyProtection="0">
      <alignment vertical="bottom"/>
    </xf>
    <xf numFmtId="65" fontId="5" fillId="2" borderId="19" applyNumberFormat="1" applyFont="1" applyFill="1" applyBorder="1" applyAlignment="1" applyProtection="0">
      <alignment vertical="bottom"/>
    </xf>
    <xf numFmtId="65" fontId="12" fillId="2" borderId="8" applyNumberFormat="1" applyFont="1" applyFill="1" applyBorder="1" applyAlignment="1" applyProtection="0">
      <alignment vertical="bottom"/>
    </xf>
    <xf numFmtId="65" fontId="12" fillId="2" borderId="17" applyNumberFormat="1" applyFont="1" applyFill="1" applyBorder="1" applyAlignment="1" applyProtection="0">
      <alignment vertical="bottom"/>
    </xf>
    <xf numFmtId="63" fontId="11" fillId="2" borderId="5" applyNumberFormat="1" applyFont="1" applyFill="1" applyBorder="1" applyAlignment="1" applyProtection="0">
      <alignment horizontal="center" vertical="bottom"/>
    </xf>
    <xf numFmtId="63" fontId="11" fillId="2" borderId="6" applyNumberFormat="1" applyFont="1" applyFill="1" applyBorder="1" applyAlignment="1" applyProtection="0">
      <alignment horizontal="center" vertical="bottom"/>
    </xf>
    <xf numFmtId="63" fontId="12" fillId="2" borderId="5" applyNumberFormat="1" applyFont="1" applyFill="1" applyBorder="1" applyAlignment="1" applyProtection="0">
      <alignment vertical="bottom"/>
    </xf>
    <xf numFmtId="63" fontId="12" fillId="2" borderId="6" applyNumberFormat="1" applyFont="1" applyFill="1" applyBorder="1" applyAlignment="1" applyProtection="0">
      <alignment vertical="bottom"/>
    </xf>
    <xf numFmtId="59" fontId="11" fillId="2" borderId="7" applyNumberFormat="1" applyFont="1" applyFill="1" applyBorder="1" applyAlignment="1" applyProtection="0">
      <alignment horizontal="right" vertical="bottom"/>
    </xf>
    <xf numFmtId="59" fontId="11" fillId="2" borderId="5" applyNumberFormat="1" applyFont="1" applyFill="1" applyBorder="1" applyAlignment="1" applyProtection="0">
      <alignment horizontal="right" vertical="bottom"/>
    </xf>
    <xf numFmtId="59" fontId="11" fillId="2" borderId="16" applyNumberFormat="1" applyFont="1" applyFill="1" applyBorder="1" applyAlignment="1" applyProtection="0">
      <alignment horizontal="right" vertical="bottom"/>
    </xf>
    <xf numFmtId="63" fontId="11" fillId="2" borderId="8" applyNumberFormat="1" applyFont="1" applyFill="1" applyBorder="1" applyAlignment="1" applyProtection="0">
      <alignment horizontal="right" vertical="bottom"/>
    </xf>
    <xf numFmtId="65" fontId="11" fillId="2" borderId="5" applyNumberFormat="1" applyFont="1" applyFill="1" applyBorder="1" applyAlignment="1" applyProtection="0">
      <alignment horizontal="right" vertical="bottom"/>
    </xf>
    <xf numFmtId="63" fontId="11" fillId="2" borderId="5" applyNumberFormat="1" applyFont="1" applyFill="1" applyBorder="1" applyAlignment="1" applyProtection="0">
      <alignment horizontal="right" vertical="bottom"/>
    </xf>
    <xf numFmtId="63" fontId="11" fillId="2" borderId="17" applyNumberFormat="1" applyFont="1" applyFill="1" applyBorder="1" applyAlignment="1" applyProtection="0">
      <alignment horizontal="right" vertical="bottom"/>
    </xf>
    <xf numFmtId="63" fontId="11" fillId="2" borderId="6" applyNumberFormat="1" applyFont="1" applyFill="1" applyBorder="1" applyAlignment="1" applyProtection="0">
      <alignment horizontal="right" vertical="bottom"/>
    </xf>
    <xf numFmtId="63" fontId="0" fillId="2" borderId="5" applyNumberFormat="1" applyFont="1" applyFill="1" applyBorder="1" applyAlignment="1" applyProtection="0">
      <alignment vertical="bottom"/>
    </xf>
    <xf numFmtId="63" fontId="0" fillId="2" borderId="6" applyNumberFormat="1" applyFont="1" applyFill="1" applyBorder="1" applyAlignment="1" applyProtection="0">
      <alignment vertical="bottom"/>
    </xf>
    <xf numFmtId="65" fontId="15" fillId="2" borderId="5" applyNumberFormat="1" applyFont="1" applyFill="1" applyBorder="1" applyAlignment="1" applyProtection="0">
      <alignment vertical="bottom" wrapText="1"/>
    </xf>
    <xf numFmtId="0" fontId="15" fillId="2" borderId="5" applyNumberFormat="0" applyFont="1" applyFill="1" applyBorder="1" applyAlignment="1" applyProtection="0">
      <alignment vertical="bottom" wrapText="1"/>
    </xf>
    <xf numFmtId="0" fontId="15" fillId="5" borderId="4" applyNumberFormat="0" applyFont="1" applyFill="1" applyBorder="1" applyAlignment="1" applyProtection="0">
      <alignment vertical="bottom" wrapText="1"/>
    </xf>
    <xf numFmtId="59" fontId="16" fillId="5" borderId="5" applyNumberFormat="1" applyFont="1" applyFill="1" applyBorder="1" applyAlignment="1" applyProtection="0">
      <alignment vertical="bottom" wrapText="1"/>
    </xf>
    <xf numFmtId="65" fontId="16" fillId="5" borderId="5" applyNumberFormat="1" applyFont="1" applyFill="1" applyBorder="1" applyAlignment="1" applyProtection="0">
      <alignment vertical="bottom" wrapText="1"/>
    </xf>
    <xf numFmtId="0" fontId="16" fillId="5" borderId="5" applyNumberFormat="0" applyFont="1" applyFill="1" applyBorder="1" applyAlignment="1" applyProtection="0">
      <alignment vertical="bottom" wrapText="1"/>
    </xf>
    <xf numFmtId="0" fontId="17" fillId="5" borderId="5" applyNumberFormat="0" applyFont="1" applyFill="1" applyBorder="1" applyAlignment="1" applyProtection="0">
      <alignment vertical="bottom"/>
    </xf>
    <xf numFmtId="9" fontId="17" fillId="5" borderId="5" applyNumberFormat="1" applyFont="1" applyFill="1" applyBorder="1" applyAlignment="1" applyProtection="0">
      <alignment vertical="bottom"/>
    </xf>
    <xf numFmtId="49" fontId="17" fillId="5" borderId="5" applyNumberFormat="1" applyFont="1" applyFill="1" applyBorder="1" applyAlignment="1" applyProtection="0">
      <alignment vertical="bottom"/>
    </xf>
    <xf numFmtId="0" fontId="0" fillId="5" borderId="5"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0" fontId="0" fillId="5" borderId="4" applyNumberFormat="0" applyFont="1" applyFill="1" applyBorder="1" applyAlignment="1" applyProtection="0">
      <alignment vertical="bottom"/>
    </xf>
    <xf numFmtId="60" fontId="17" fillId="5" borderId="5" applyNumberFormat="1" applyFont="1" applyFill="1" applyBorder="1" applyAlignment="1" applyProtection="0">
      <alignment vertical="bottom"/>
    </xf>
    <xf numFmtId="0" fontId="0" fillId="5" borderId="9" applyNumberFormat="0" applyFont="1" applyFill="1" applyBorder="1" applyAlignment="1" applyProtection="0">
      <alignment vertical="bottom"/>
    </xf>
    <xf numFmtId="59" fontId="0" fillId="5" borderId="10" applyNumberFormat="1" applyFont="1" applyFill="1" applyBorder="1" applyAlignment="1" applyProtection="0">
      <alignment vertical="bottom"/>
    </xf>
    <xf numFmtId="65" fontId="0" fillId="5" borderId="10" applyNumberFormat="1" applyFont="1" applyFill="1" applyBorder="1" applyAlignment="1" applyProtection="0">
      <alignment vertical="bottom"/>
    </xf>
    <xf numFmtId="0" fontId="0" fillId="5" borderId="10" applyNumberFormat="0" applyFont="1" applyFill="1" applyBorder="1" applyAlignment="1" applyProtection="0">
      <alignment vertical="bottom"/>
    </xf>
    <xf numFmtId="9" fontId="0" fillId="5" borderId="10" applyNumberFormat="1" applyFont="1" applyFill="1" applyBorder="1" applyAlignment="1" applyProtection="0">
      <alignment vertical="bottom"/>
    </xf>
    <xf numFmtId="0" fontId="0" fillId="5" borderId="11" applyNumberFormat="0" applyFont="1" applyFill="1" applyBorder="1" applyAlignment="1" applyProtection="0">
      <alignment vertical="bottom"/>
    </xf>
    <xf numFmtId="0" fontId="0" applyNumberFormat="1" applyFont="1" applyFill="0" applyBorder="0" applyAlignment="1" applyProtection="0">
      <alignment vertical="bottom"/>
    </xf>
    <xf numFmtId="65" fontId="12" fillId="2" borderId="16" applyNumberFormat="1" applyFont="1" applyFill="1" applyBorder="1" applyAlignment="1" applyProtection="0">
      <alignment vertical="bottom"/>
    </xf>
    <xf numFmtId="0" fontId="15" fillId="5" borderId="9" applyNumberFormat="0" applyFont="1" applyFill="1" applyBorder="1" applyAlignment="1" applyProtection="0">
      <alignment vertical="bottom" wrapText="1"/>
    </xf>
    <xf numFmtId="0" fontId="15" fillId="5" borderId="10"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5" fillId="2" borderId="2" applyNumberFormat="1" applyFont="1" applyFill="1" applyBorder="1" applyAlignment="1" applyProtection="0">
      <alignment horizontal="center" vertical="bottom"/>
    </xf>
    <xf numFmtId="0" fontId="0" fillId="2" borderId="7" applyNumberFormat="0" applyFont="1" applyFill="1" applyBorder="1" applyAlignment="1" applyProtection="0">
      <alignment vertical="bottom"/>
    </xf>
    <xf numFmtId="49" fontId="6" fillId="2" borderId="7" applyNumberFormat="1" applyFont="1" applyFill="1" applyBorder="1" applyAlignment="1" applyProtection="0">
      <alignment horizontal="center" vertical="bottom"/>
    </xf>
    <xf numFmtId="49" fontId="11" fillId="2" borderId="4" applyNumberFormat="1" applyFont="1" applyFill="1" applyBorder="1" applyAlignment="1" applyProtection="0">
      <alignment horizontal="center" vertical="center"/>
    </xf>
    <xf numFmtId="0" fontId="0" fillId="2" borderId="23" applyNumberFormat="0" applyFont="1" applyFill="1" applyBorder="1" applyAlignment="1" applyProtection="0">
      <alignment vertical="bottom"/>
    </xf>
    <xf numFmtId="49" fontId="6" fillId="2" borderId="24" applyNumberFormat="1" applyFont="1" applyFill="1" applyBorder="1" applyAlignment="1" applyProtection="0">
      <alignment horizontal="center" vertical="center" wrapText="1"/>
    </xf>
    <xf numFmtId="0" fontId="0" fillId="2" borderId="25" applyNumberFormat="0" applyFont="1" applyFill="1" applyBorder="1" applyAlignment="1" applyProtection="0">
      <alignment vertical="bottom"/>
    </xf>
    <xf numFmtId="49" fontId="0" fillId="2" borderId="24" applyNumberFormat="1" applyFont="1" applyFill="1" applyBorder="1" applyAlignment="1" applyProtection="0">
      <alignment horizontal="center" vertical="center" wrapText="1"/>
    </xf>
    <xf numFmtId="49" fontId="0" fillId="2" borderId="24" applyNumberFormat="1" applyFont="1" applyFill="1" applyBorder="1" applyAlignment="1" applyProtection="0">
      <alignment horizontal="center" vertical="bottom" wrapText="1"/>
    </xf>
    <xf numFmtId="0" fontId="0" fillId="2" borderId="26" applyNumberFormat="0" applyFont="1" applyFill="1" applyBorder="1" applyAlignment="1" applyProtection="0">
      <alignment vertical="bottom"/>
    </xf>
    <xf numFmtId="0" fontId="11" fillId="2" borderId="4" applyNumberFormat="0" applyFont="1" applyFill="1" applyBorder="1" applyAlignment="1" applyProtection="0">
      <alignment horizontal="center" vertical="center"/>
    </xf>
    <xf numFmtId="0" fontId="6" fillId="2" borderId="27" applyNumberFormat="0" applyFont="1" applyFill="1" applyBorder="1" applyAlignment="1" applyProtection="0">
      <alignment horizontal="center" vertical="center" wrapText="1"/>
    </xf>
    <xf numFmtId="0" fontId="0" fillId="2" borderId="27" applyNumberFormat="0" applyFont="1" applyFill="1" applyBorder="1" applyAlignment="1" applyProtection="0">
      <alignment horizontal="center" vertical="center" wrapText="1"/>
    </xf>
    <xf numFmtId="0" fontId="0" fillId="2" borderId="27" applyNumberFormat="0" applyFont="1" applyFill="1" applyBorder="1" applyAlignment="1" applyProtection="0">
      <alignment horizontal="center" vertical="bottom" wrapText="1"/>
    </xf>
    <xf numFmtId="60" fontId="0" fillId="2" borderId="5" applyNumberFormat="1" applyFont="1" applyFill="1" applyBorder="1" applyAlignment="1" applyProtection="0">
      <alignment vertical="bottom"/>
    </xf>
    <xf numFmtId="60" fontId="0" fillId="2" borderId="5" applyNumberFormat="1" applyFont="1" applyFill="1" applyBorder="1" applyAlignment="1" applyProtection="0">
      <alignment horizontal="left" vertical="bottom"/>
    </xf>
    <xf numFmtId="59" fontId="0" fillId="2" borderId="12" applyNumberFormat="1" applyFont="1" applyFill="1" applyBorder="1" applyAlignment="1" applyProtection="0">
      <alignment vertical="bottom"/>
    </xf>
    <xf numFmtId="60" fontId="0" fillId="2" borderId="12" applyNumberFormat="1" applyFont="1" applyFill="1" applyBorder="1" applyAlignment="1" applyProtection="0">
      <alignment vertical="bottom"/>
    </xf>
    <xf numFmtId="59" fontId="0" fillId="2" borderId="14" applyNumberFormat="1" applyFont="1" applyFill="1" applyBorder="1" applyAlignment="1" applyProtection="0">
      <alignment vertical="bottom"/>
    </xf>
    <xf numFmtId="59" fontId="6" fillId="2" borderId="13" applyNumberFormat="1" applyFont="1" applyFill="1" applyBorder="1" applyAlignment="1" applyProtection="0">
      <alignment vertical="bottom"/>
    </xf>
    <xf numFmtId="60" fontId="6" fillId="2" borderId="13" applyNumberFormat="1" applyFont="1" applyFill="1" applyBorder="1" applyAlignment="1" applyProtection="0">
      <alignment vertical="bottom"/>
    </xf>
    <xf numFmtId="59" fontId="6" fillId="2" borderId="5" applyNumberFormat="1" applyFont="1" applyFill="1" applyBorder="1" applyAlignment="1" applyProtection="0">
      <alignment vertical="bottom"/>
    </xf>
    <xf numFmtId="59" fontId="11" fillId="2" borderId="14" applyNumberFormat="1" applyFont="1" applyFill="1" applyBorder="1" applyAlignment="1" applyProtection="0">
      <alignment vertical="bottom"/>
    </xf>
    <xf numFmtId="60" fontId="0" fillId="2" borderId="8" applyNumberFormat="1" applyFont="1" applyFill="1" applyBorder="1" applyAlignment="1" applyProtection="0">
      <alignment vertical="bottom"/>
    </xf>
    <xf numFmtId="49" fontId="11" fillId="2" borderId="4" applyNumberFormat="1" applyFont="1" applyFill="1" applyBorder="1" applyAlignment="1" applyProtection="0">
      <alignment horizontal="left" vertical="bottom"/>
    </xf>
    <xf numFmtId="9" fontId="11" fillId="2" borderId="7" applyNumberFormat="1" applyFont="1" applyFill="1" applyBorder="1" applyAlignment="1" applyProtection="0">
      <alignment vertical="bottom"/>
    </xf>
    <xf numFmtId="60" fontId="12" fillId="2" borderId="8" applyNumberFormat="1" applyFont="1" applyFill="1" applyBorder="1" applyAlignment="1" applyProtection="0">
      <alignment vertical="bottom"/>
    </xf>
    <xf numFmtId="63" fontId="11" fillId="2" borderId="7"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ffff00"/>
      <rgbColor rgb="ffff0000"/>
      <rgbColor rgb="ffbfbfb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drawings/drawing1.xml><?xml version="1.0" encoding="utf-8"?>
<xdr:wsDr xmlns:r="http://schemas.openxmlformats.org/officeDocument/2006/relationships" xmlns:a="http://schemas.openxmlformats.org/drawingml/2006/main" xmlns:xdr="http://schemas.openxmlformats.org/drawingml/2006/spreadsheetDrawing"/>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W71"/>
  <sheetViews>
    <sheetView workbookViewId="0" showGridLines="0" defaultGridColor="1"/>
  </sheetViews>
  <sheetFormatPr defaultColWidth="9.16667" defaultRowHeight="14.4" customHeight="1" outlineLevelRow="0" outlineLevelCol="0"/>
  <cols>
    <col min="1" max="1" width="26.8516" style="1" customWidth="1"/>
    <col min="2" max="2" width="22.1719" style="1" customWidth="1"/>
    <col min="3" max="3" width="11" style="1" customWidth="1"/>
    <col min="4" max="4" width="5" style="1" customWidth="1"/>
    <col min="5" max="5" width="11.3516" style="1" customWidth="1"/>
    <col min="6" max="6" width="16.5" style="1" customWidth="1"/>
    <col min="7" max="7" width="11.5" style="1" customWidth="1"/>
    <col min="8" max="8" width="12.3516" style="1" customWidth="1"/>
    <col min="9" max="9" width="10.6719" style="1" customWidth="1"/>
    <col min="10" max="10" width="9.17188" style="1" customWidth="1"/>
    <col min="11" max="11" width="7.35156" style="1" customWidth="1"/>
    <col min="12" max="12" width="2.35156" style="1" customWidth="1"/>
    <col min="13" max="13" width="6.35156" style="1" customWidth="1"/>
    <col min="14" max="14" width="2.35156" style="1" customWidth="1"/>
    <col min="15" max="15" width="7.17188" style="1" customWidth="1"/>
    <col min="16" max="16" width="2.5" style="1" customWidth="1"/>
    <col min="17" max="17" width="6.67188" style="1" customWidth="1"/>
    <col min="18" max="18" width="2.67188" style="1" customWidth="1"/>
    <col min="19" max="19" width="8" style="1" customWidth="1"/>
    <col min="20" max="20" width="9.17188" style="1" customWidth="1"/>
    <col min="21" max="21" width="9.17188" style="1" customWidth="1"/>
    <col min="22" max="22" width="9.17188" style="1" customWidth="1"/>
    <col min="23" max="23" width="9.17188" style="1" customWidth="1"/>
    <col min="24" max="256" width="9.17188" style="1" customWidth="1"/>
  </cols>
  <sheetData>
    <row r="1" ht="25.8" customHeight="1">
      <c r="A1" t="s" s="2">
        <v>0</v>
      </c>
      <c r="B1" s="3"/>
      <c r="C1" s="3"/>
      <c r="D1" s="3"/>
      <c r="E1" s="3"/>
      <c r="F1" s="3"/>
      <c r="G1" s="3"/>
      <c r="H1" s="3"/>
      <c r="I1" s="3"/>
      <c r="J1" s="4"/>
      <c r="K1" s="5">
        <v>1</v>
      </c>
      <c r="L1" s="4"/>
      <c r="M1" s="4"/>
      <c r="N1" s="4"/>
      <c r="O1" s="4"/>
      <c r="P1" s="4"/>
      <c r="Q1" s="4"/>
      <c r="R1" s="4"/>
      <c r="S1" s="4"/>
      <c r="T1" s="4"/>
      <c r="U1" s="4"/>
      <c r="V1" s="4"/>
      <c r="W1" s="6"/>
    </row>
    <row r="2" ht="18" customHeight="1">
      <c r="A2" t="s" s="7">
        <v>1</v>
      </c>
      <c r="B2" s="8"/>
      <c r="C2" s="8"/>
      <c r="D2" s="8"/>
      <c r="E2" s="8"/>
      <c r="F2" s="8"/>
      <c r="G2" s="8"/>
      <c r="H2" s="8"/>
      <c r="I2" s="8"/>
      <c r="J2" s="9"/>
      <c r="K2" s="10">
        <v>2</v>
      </c>
      <c r="L2" s="9"/>
      <c r="M2" s="9"/>
      <c r="N2" s="9"/>
      <c r="O2" s="9"/>
      <c r="P2" s="9"/>
      <c r="Q2" s="9"/>
      <c r="R2" s="9"/>
      <c r="S2" s="9"/>
      <c r="T2" s="9"/>
      <c r="U2" s="9"/>
      <c r="V2" s="9"/>
      <c r="W2" s="11"/>
    </row>
    <row r="3" ht="18" customHeight="1">
      <c r="A3" s="12"/>
      <c r="B3" s="13"/>
      <c r="C3" s="13"/>
      <c r="D3" t="s" s="14">
        <v>2</v>
      </c>
      <c r="E3" s="15"/>
      <c r="F3" s="15"/>
      <c r="G3" s="15"/>
      <c r="H3" s="15"/>
      <c r="I3" s="15"/>
      <c r="J3" s="9"/>
      <c r="K3" s="10">
        <v>3</v>
      </c>
      <c r="L3" s="9"/>
      <c r="M3" s="9"/>
      <c r="N3" s="9"/>
      <c r="O3" s="9"/>
      <c r="P3" s="9"/>
      <c r="Q3" s="9"/>
      <c r="R3" s="9"/>
      <c r="S3" s="9"/>
      <c r="T3" s="9"/>
      <c r="U3" s="9"/>
      <c r="V3" s="9"/>
      <c r="W3" s="11"/>
    </row>
    <row r="4" ht="8" customHeight="1">
      <c r="A4" s="12"/>
      <c r="B4" s="13"/>
      <c r="C4" s="13"/>
      <c r="D4" s="16"/>
      <c r="E4" s="15"/>
      <c r="F4" s="15"/>
      <c r="G4" s="15"/>
      <c r="H4" s="15"/>
      <c r="I4" s="15"/>
      <c r="J4" s="9"/>
      <c r="K4" s="10">
        <v>4</v>
      </c>
      <c r="L4" s="9"/>
      <c r="M4" s="9"/>
      <c r="N4" s="9"/>
      <c r="O4" s="9"/>
      <c r="P4" s="9"/>
      <c r="Q4" s="9"/>
      <c r="R4" s="9"/>
      <c r="S4" s="9"/>
      <c r="T4" s="9"/>
      <c r="U4" s="9"/>
      <c r="V4" s="9"/>
      <c r="W4" s="11"/>
    </row>
    <row r="5" ht="15.75" customHeight="1">
      <c r="A5" t="s" s="17">
        <v>3</v>
      </c>
      <c r="B5" t="s" s="18">
        <v>4</v>
      </c>
      <c r="C5" s="19"/>
      <c r="D5" s="19"/>
      <c r="E5" s="19"/>
      <c r="F5" s="19"/>
      <c r="G5" s="19"/>
      <c r="H5" s="19"/>
      <c r="I5" s="19"/>
      <c r="J5" s="9"/>
      <c r="K5" s="20"/>
      <c r="L5" s="9"/>
      <c r="M5" s="9"/>
      <c r="N5" s="9"/>
      <c r="O5" s="9"/>
      <c r="P5" s="9"/>
      <c r="Q5" s="9"/>
      <c r="R5" s="9"/>
      <c r="S5" s="9"/>
      <c r="T5" s="9"/>
      <c r="U5" s="9"/>
      <c r="V5" s="9"/>
      <c r="W5" s="11"/>
    </row>
    <row r="6" ht="15.75" customHeight="1">
      <c r="A6" s="21"/>
      <c r="B6" t="s" s="18">
        <v>5</v>
      </c>
      <c r="C6" s="19"/>
      <c r="D6" s="19"/>
      <c r="E6" s="19"/>
      <c r="F6" s="19"/>
      <c r="G6" s="19"/>
      <c r="H6" s="19"/>
      <c r="I6" s="19"/>
      <c r="J6" s="9"/>
      <c r="K6" s="9"/>
      <c r="L6" s="9"/>
      <c r="M6" s="9"/>
      <c r="N6" s="9"/>
      <c r="O6" s="9"/>
      <c r="P6" s="9"/>
      <c r="Q6" s="9"/>
      <c r="R6" s="9"/>
      <c r="S6" s="9"/>
      <c r="T6" s="9"/>
      <c r="U6" s="9"/>
      <c r="V6" s="9"/>
      <c r="W6" s="11"/>
    </row>
    <row r="7" ht="15.75" customHeight="1">
      <c r="A7" t="s" s="17">
        <v>6</v>
      </c>
      <c r="B7" t="s" s="22">
        <v>7</v>
      </c>
      <c r="C7" s="23"/>
      <c r="D7" s="23"/>
      <c r="E7" s="23"/>
      <c r="F7" s="23"/>
      <c r="G7" s="23"/>
      <c r="H7" s="23"/>
      <c r="I7" s="23"/>
      <c r="J7" s="9"/>
      <c r="K7" s="9"/>
      <c r="L7" s="9"/>
      <c r="M7" s="9"/>
      <c r="N7" s="9"/>
      <c r="O7" s="9"/>
      <c r="P7" s="9"/>
      <c r="Q7" s="9"/>
      <c r="R7" s="9"/>
      <c r="S7" s="9"/>
      <c r="T7" s="9"/>
      <c r="U7" s="9"/>
      <c r="V7" s="9"/>
      <c r="W7" s="11"/>
    </row>
    <row r="8" ht="15.75" customHeight="1">
      <c r="A8" t="s" s="17">
        <v>8</v>
      </c>
      <c r="B8" t="s" s="18">
        <v>9</v>
      </c>
      <c r="C8" s="19"/>
      <c r="D8" s="19"/>
      <c r="E8" s="19"/>
      <c r="F8" s="19"/>
      <c r="G8" s="19"/>
      <c r="H8" s="19"/>
      <c r="I8" s="19"/>
      <c r="J8" s="9"/>
      <c r="K8" s="9"/>
      <c r="L8" s="9"/>
      <c r="M8" s="9"/>
      <c r="N8" s="9"/>
      <c r="O8" s="9"/>
      <c r="P8" s="9"/>
      <c r="Q8" s="9"/>
      <c r="R8" s="9"/>
      <c r="S8" s="9"/>
      <c r="T8" s="9"/>
      <c r="U8" s="9"/>
      <c r="V8" s="9"/>
      <c r="W8" s="11"/>
    </row>
    <row r="9" ht="15" customHeight="1">
      <c r="A9" s="24"/>
      <c r="B9" s="13"/>
      <c r="C9" s="13"/>
      <c r="D9" s="13"/>
      <c r="E9" s="13"/>
      <c r="F9" s="13"/>
      <c r="G9" s="13"/>
      <c r="H9" s="13"/>
      <c r="I9" s="13"/>
      <c r="J9" s="9"/>
      <c r="K9" s="9"/>
      <c r="L9" s="9"/>
      <c r="M9" s="9"/>
      <c r="N9" s="9"/>
      <c r="O9" s="9"/>
      <c r="P9" s="9"/>
      <c r="Q9" s="9"/>
      <c r="R9" s="9"/>
      <c r="S9" s="9"/>
      <c r="T9" s="9"/>
      <c r="U9" s="9"/>
      <c r="V9" s="9"/>
      <c r="W9" s="11"/>
    </row>
    <row r="10" ht="15" customHeight="1">
      <c r="A10" t="s" s="25">
        <v>10</v>
      </c>
      <c r="B10" t="s" s="26">
        <v>11</v>
      </c>
      <c r="C10" s="13"/>
      <c r="D10" s="13"/>
      <c r="E10" s="13"/>
      <c r="F10" s="13"/>
      <c r="G10" s="13"/>
      <c r="H10" s="13"/>
      <c r="I10" s="13"/>
      <c r="J10" s="9"/>
      <c r="K10" s="9"/>
      <c r="L10" s="9"/>
      <c r="M10" s="9"/>
      <c r="N10" s="9"/>
      <c r="O10" s="9"/>
      <c r="P10" s="9"/>
      <c r="Q10" s="9"/>
      <c r="R10" s="9"/>
      <c r="S10" s="9"/>
      <c r="T10" s="9"/>
      <c r="U10" s="9"/>
      <c r="V10" s="9"/>
      <c r="W10" s="11"/>
    </row>
    <row r="11" ht="15" customHeight="1">
      <c r="A11" t="s" s="25">
        <v>12</v>
      </c>
      <c r="B11" s="27">
        <v>1</v>
      </c>
      <c r="C11" s="13"/>
      <c r="D11" s="13"/>
      <c r="E11" s="13"/>
      <c r="F11" s="13"/>
      <c r="G11" s="13"/>
      <c r="H11" s="13"/>
      <c r="I11" s="13"/>
      <c r="J11" s="9"/>
      <c r="K11" s="9"/>
      <c r="L11" s="9"/>
      <c r="M11" s="9"/>
      <c r="N11" s="9"/>
      <c r="O11" s="9"/>
      <c r="P11" s="9"/>
      <c r="Q11" s="9"/>
      <c r="R11" s="9"/>
      <c r="S11" s="9"/>
      <c r="T11" s="9"/>
      <c r="U11" s="9"/>
      <c r="V11" s="9"/>
      <c r="W11" s="11"/>
    </row>
    <row r="12" ht="15" customHeight="1">
      <c r="A12" s="24"/>
      <c r="B12" s="13"/>
      <c r="C12" t="s" s="28">
        <f>IF(AND(B11=1,B13&lt;0.15),"WARNING - Borrower needs more down payment!                              Minimum Down Payment on SFR is 15%",IF(AND(B11&gt;=2,B13&lt;0.25),"WARNING - Borrower needs more down payment!                              Minimum Down Payment on Multi-Unit is 25%."," "))</f>
        <v>13</v>
      </c>
      <c r="D12" s="29"/>
      <c r="E12" s="29"/>
      <c r="F12" s="29"/>
      <c r="G12" s="29"/>
      <c r="H12" s="29"/>
      <c r="I12" s="29"/>
      <c r="J12" s="9"/>
      <c r="K12" s="9"/>
      <c r="L12" s="9"/>
      <c r="M12" s="9"/>
      <c r="N12" s="9"/>
      <c r="O12" s="9"/>
      <c r="P12" s="9"/>
      <c r="Q12" s="9"/>
      <c r="R12" s="9"/>
      <c r="S12" s="9"/>
      <c r="T12" s="9"/>
      <c r="U12" s="9"/>
      <c r="V12" s="9"/>
      <c r="W12" s="11"/>
    </row>
    <row r="13" ht="15" customHeight="1">
      <c r="A13" t="s" s="25">
        <v>14</v>
      </c>
      <c r="B13" s="30">
        <v>0.25</v>
      </c>
      <c r="C13" s="29"/>
      <c r="D13" s="29"/>
      <c r="E13" s="29"/>
      <c r="F13" s="29"/>
      <c r="G13" s="29"/>
      <c r="H13" s="29"/>
      <c r="I13" s="29"/>
      <c r="J13" s="9"/>
      <c r="K13" s="9"/>
      <c r="L13" s="9"/>
      <c r="M13" s="9"/>
      <c r="N13" s="9"/>
      <c r="O13" s="9"/>
      <c r="P13" s="9"/>
      <c r="Q13" s="9"/>
      <c r="R13" s="9"/>
      <c r="S13" s="9"/>
      <c r="T13" s="9"/>
      <c r="U13" s="9"/>
      <c r="V13" s="9"/>
      <c r="W13" s="11"/>
    </row>
    <row r="14" ht="15" customHeight="1">
      <c r="A14" s="24"/>
      <c r="B14" s="13"/>
      <c r="C14" s="29"/>
      <c r="D14" s="29"/>
      <c r="E14" s="29"/>
      <c r="F14" s="29"/>
      <c r="G14" s="29"/>
      <c r="H14" s="29"/>
      <c r="I14" s="29"/>
      <c r="J14" s="9"/>
      <c r="K14" s="9"/>
      <c r="L14" s="9"/>
      <c r="M14" s="9"/>
      <c r="N14" s="9"/>
      <c r="O14" s="9"/>
      <c r="P14" s="9"/>
      <c r="Q14" s="9"/>
      <c r="R14" s="9"/>
      <c r="S14" s="9"/>
      <c r="T14" s="9"/>
      <c r="U14" s="9"/>
      <c r="V14" s="9"/>
      <c r="W14" s="11"/>
    </row>
    <row r="15" ht="18" customHeight="1">
      <c r="A15" t="s" s="25">
        <v>15</v>
      </c>
      <c r="B15" s="31">
        <v>200000</v>
      </c>
      <c r="C15" t="s" s="28">
        <f>IF(B19&lt;65000,"WARNING - Your borrower will need to pay cash for this property.  Minimum loan amount of $65,000"," ")</f>
        <v>13</v>
      </c>
      <c r="D15" s="29"/>
      <c r="E15" s="29"/>
      <c r="F15" s="29"/>
      <c r="G15" s="29"/>
      <c r="H15" s="29"/>
      <c r="I15" s="29"/>
      <c r="J15" s="9"/>
      <c r="K15" s="9"/>
      <c r="L15" s="9"/>
      <c r="M15" s="9"/>
      <c r="N15" s="9"/>
      <c r="O15" s="9"/>
      <c r="P15" s="9"/>
      <c r="Q15" s="9"/>
      <c r="R15" s="9"/>
      <c r="S15" s="9"/>
      <c r="T15" s="9"/>
      <c r="U15" s="9"/>
      <c r="V15" s="9"/>
      <c r="W15" s="11"/>
    </row>
    <row r="16" ht="19.5" customHeight="1">
      <c r="A16" t="s" s="25">
        <v>16</v>
      </c>
      <c r="B16" s="31">
        <v>972</v>
      </c>
      <c r="C16" s="29"/>
      <c r="D16" s="29"/>
      <c r="E16" s="29"/>
      <c r="F16" s="29"/>
      <c r="G16" s="29"/>
      <c r="H16" s="29"/>
      <c r="I16" s="29"/>
      <c r="J16" s="9"/>
      <c r="K16" s="9"/>
      <c r="L16" s="9"/>
      <c r="M16" s="9"/>
      <c r="N16" s="9"/>
      <c r="O16" s="9"/>
      <c r="P16" s="9"/>
      <c r="Q16" s="9"/>
      <c r="R16" s="9"/>
      <c r="S16" s="9"/>
      <c r="T16" s="9"/>
      <c r="U16" s="9"/>
      <c r="V16" s="9"/>
      <c r="W16" s="11"/>
    </row>
    <row r="17" ht="15" customHeight="1">
      <c r="A17" t="s" s="25">
        <v>17</v>
      </c>
      <c r="B17" s="32">
        <f>1395+(IF(B13&lt;0.1999,(B15*(1-B13)*0.03),(IF(B13&lt;0.2499,(B15*(1-B13)*0.01),(B15*(1-B13)*0)))))</f>
        <v>1395</v>
      </c>
      <c r="C17" t="s" s="28">
        <f>IF(AND(B11=1,B19&gt;417000),"WARNING - Borrower needs more down payment! Maximum Loan Amount on SFR is $417,000",IF(AND(B11=2,B19&gt;533850),"WARNING - Borrower needs more down payment! Maximum Loan Amount on Duplex is $533,850",IF(AND(B11=3,B19&gt;645300),"WARNING - Borrower needs more down payment! Maximum Loan Amount on Tri-Plex is $645,300",IF(AND(B11=4,B19&gt;801950),"WARNING - Borrower needs more down payment! Maximum Loan Amount on Four-Plex is $801,950"," "))))</f>
        <v>13</v>
      </c>
      <c r="D17" s="29"/>
      <c r="E17" s="29"/>
      <c r="F17" s="29"/>
      <c r="G17" s="29"/>
      <c r="H17" s="29"/>
      <c r="I17" s="13"/>
      <c r="J17" s="9"/>
      <c r="K17" s="9"/>
      <c r="L17" s="9"/>
      <c r="M17" s="9"/>
      <c r="N17" s="9"/>
      <c r="O17" s="9"/>
      <c r="P17" s="9"/>
      <c r="Q17" s="9"/>
      <c r="R17" s="9"/>
      <c r="S17" s="9"/>
      <c r="T17" s="9"/>
      <c r="U17" s="9"/>
      <c r="V17" s="9"/>
      <c r="W17" s="11"/>
    </row>
    <row r="18" ht="15.75" customHeight="1">
      <c r="A18" t="s" s="25">
        <v>18</v>
      </c>
      <c r="B18" s="32">
        <f>B13*B15</f>
        <v>50000</v>
      </c>
      <c r="C18" s="29"/>
      <c r="D18" s="29"/>
      <c r="E18" s="29"/>
      <c r="F18" s="29"/>
      <c r="G18" s="29"/>
      <c r="H18" s="29"/>
      <c r="I18" s="13"/>
      <c r="J18" s="9"/>
      <c r="K18" s="9"/>
      <c r="L18" s="9"/>
      <c r="M18" s="9"/>
      <c r="N18" s="9"/>
      <c r="O18" s="9"/>
      <c r="P18" s="9"/>
      <c r="Q18" s="9"/>
      <c r="R18" s="9"/>
      <c r="S18" s="9"/>
      <c r="T18" s="9"/>
      <c r="U18" s="9"/>
      <c r="V18" s="9"/>
      <c r="W18" s="11"/>
    </row>
    <row r="19" ht="15" customHeight="1">
      <c r="A19" t="s" s="25">
        <v>19</v>
      </c>
      <c r="B19" s="33">
        <f>B15-B18</f>
        <v>150000</v>
      </c>
      <c r="C19" s="29"/>
      <c r="D19" s="29"/>
      <c r="E19" s="29"/>
      <c r="F19" s="29"/>
      <c r="G19" s="29"/>
      <c r="H19" s="29"/>
      <c r="I19" s="13"/>
      <c r="J19" s="9"/>
      <c r="K19" s="9"/>
      <c r="L19" s="9"/>
      <c r="M19" s="9"/>
      <c r="N19" s="9"/>
      <c r="O19" s="9"/>
      <c r="P19" s="9"/>
      <c r="Q19" s="9"/>
      <c r="R19" s="9"/>
      <c r="S19" s="9"/>
      <c r="T19" s="9"/>
      <c r="U19" s="9"/>
      <c r="V19" s="9"/>
      <c r="W19" s="11"/>
    </row>
    <row r="20" ht="14.4" customHeight="1" hidden="1">
      <c r="A20" t="s" s="25">
        <v>20</v>
      </c>
      <c r="B20" s="33">
        <f>SUM(B16:B18)</f>
        <v>52367</v>
      </c>
      <c r="C20" s="13"/>
      <c r="D20" s="13"/>
      <c r="E20" s="13"/>
      <c r="F20" s="13"/>
      <c r="G20" s="13"/>
      <c r="H20" s="13"/>
      <c r="I20" s="13"/>
      <c r="J20" s="9"/>
      <c r="K20" s="9"/>
      <c r="L20" s="9"/>
      <c r="M20" s="9"/>
      <c r="N20" s="9"/>
      <c r="O20" s="9"/>
      <c r="P20" s="9"/>
      <c r="Q20" s="9"/>
      <c r="R20" s="9"/>
      <c r="S20" s="9"/>
      <c r="T20" s="9"/>
      <c r="U20" s="9"/>
      <c r="V20" s="9"/>
      <c r="W20" s="11"/>
    </row>
    <row r="21" ht="15" customHeight="1">
      <c r="A21" t="s" s="25">
        <v>21</v>
      </c>
      <c r="B21" s="34">
        <v>200</v>
      </c>
      <c r="C21" s="13"/>
      <c r="D21" s="13"/>
      <c r="E21" s="13"/>
      <c r="F21" s="13"/>
      <c r="G21" s="13"/>
      <c r="H21" s="13"/>
      <c r="I21" s="13"/>
      <c r="J21" s="9"/>
      <c r="K21" s="9"/>
      <c r="L21" s="9"/>
      <c r="M21" s="9"/>
      <c r="N21" s="9"/>
      <c r="O21" s="9"/>
      <c r="P21" s="9"/>
      <c r="Q21" s="9"/>
      <c r="R21" s="9"/>
      <c r="S21" s="9"/>
      <c r="T21" s="9"/>
      <c r="U21" s="9"/>
      <c r="V21" s="9"/>
      <c r="W21" s="11"/>
    </row>
    <row r="22" ht="15" customHeight="1">
      <c r="A22" t="s" s="25">
        <v>22</v>
      </c>
      <c r="B22" s="33">
        <f>B20+B21</f>
        <v>52567</v>
      </c>
      <c r="C22" s="13"/>
      <c r="D22" s="13"/>
      <c r="E22" s="13"/>
      <c r="F22" s="13"/>
      <c r="G22" s="13"/>
      <c r="H22" s="13"/>
      <c r="I22" s="13"/>
      <c r="J22" s="9"/>
      <c r="K22" s="9"/>
      <c r="L22" s="9"/>
      <c r="M22" s="9"/>
      <c r="N22" s="9"/>
      <c r="O22" s="9"/>
      <c r="P22" s="9"/>
      <c r="Q22" s="9"/>
      <c r="R22" s="9"/>
      <c r="S22" s="9"/>
      <c r="T22" s="9"/>
      <c r="U22" s="9"/>
      <c r="V22" s="9"/>
      <c r="W22" s="11"/>
    </row>
    <row r="23" ht="15" customHeight="1">
      <c r="A23" s="24"/>
      <c r="B23" s="13"/>
      <c r="C23" s="13"/>
      <c r="D23" s="13"/>
      <c r="E23" s="13"/>
      <c r="F23" s="13"/>
      <c r="G23" s="13"/>
      <c r="H23" s="13"/>
      <c r="I23" s="13"/>
      <c r="J23" s="9"/>
      <c r="K23" s="9"/>
      <c r="L23" s="9"/>
      <c r="M23" s="9"/>
      <c r="N23" s="9"/>
      <c r="O23" s="9"/>
      <c r="P23" s="9"/>
      <c r="Q23" s="9"/>
      <c r="R23" s="9"/>
      <c r="S23" s="9"/>
      <c r="T23" s="9"/>
      <c r="U23" s="9"/>
      <c r="V23" s="9"/>
      <c r="W23" s="11"/>
    </row>
    <row r="24" ht="15" customHeight="1">
      <c r="A24" t="s" s="25">
        <v>23</v>
      </c>
      <c r="B24" s="35">
        <v>0.04625</v>
      </c>
      <c r="C24" s="13"/>
      <c r="D24" s="13"/>
      <c r="E24" s="13"/>
      <c r="F24" s="13"/>
      <c r="G24" s="13"/>
      <c r="H24" s="13"/>
      <c r="I24" s="13"/>
      <c r="J24" s="9"/>
      <c r="K24" s="9"/>
      <c r="L24" s="9"/>
      <c r="M24" s="9"/>
      <c r="N24" s="9"/>
      <c r="O24" s="9"/>
      <c r="P24" s="9"/>
      <c r="Q24" s="9"/>
      <c r="R24" s="9"/>
      <c r="S24" s="9"/>
      <c r="T24" s="9"/>
      <c r="U24" s="9"/>
      <c r="V24" s="9"/>
      <c r="W24" s="11"/>
    </row>
    <row r="25" ht="15" customHeight="1">
      <c r="A25" t="s" s="25">
        <v>24</v>
      </c>
      <c r="B25" s="36">
        <v>30</v>
      </c>
      <c r="C25" s="13"/>
      <c r="D25" s="13"/>
      <c r="E25" s="13"/>
      <c r="F25" s="13"/>
      <c r="G25" s="13"/>
      <c r="H25" s="13"/>
      <c r="I25" s="13"/>
      <c r="J25" s="9"/>
      <c r="K25" s="9"/>
      <c r="L25" s="9"/>
      <c r="M25" s="9"/>
      <c r="N25" s="9"/>
      <c r="O25" s="9"/>
      <c r="P25" s="9"/>
      <c r="Q25" s="9"/>
      <c r="R25" s="9"/>
      <c r="S25" s="9"/>
      <c r="T25" s="9"/>
      <c r="U25" s="9"/>
      <c r="V25" s="9"/>
      <c r="W25" s="11"/>
    </row>
    <row r="26" ht="15" customHeight="1">
      <c r="A26" t="s" s="25">
        <v>25</v>
      </c>
      <c r="B26" s="36">
        <v>0</v>
      </c>
      <c r="C26" s="13"/>
      <c r="D26" s="13"/>
      <c r="E26" s="13"/>
      <c r="F26" s="13"/>
      <c r="G26" s="13"/>
      <c r="H26" s="13"/>
      <c r="I26" s="13"/>
      <c r="J26" s="9"/>
      <c r="K26" s="9"/>
      <c r="L26" s="9"/>
      <c r="M26" s="9"/>
      <c r="N26" s="9"/>
      <c r="O26" s="9"/>
      <c r="P26" s="9"/>
      <c r="Q26" s="9"/>
      <c r="R26" s="9"/>
      <c r="S26" s="9"/>
      <c r="T26" s="9"/>
      <c r="U26" s="9"/>
      <c r="V26" s="9"/>
      <c r="W26" s="11"/>
    </row>
    <row r="27" ht="15" customHeight="1">
      <c r="A27" s="24"/>
      <c r="B27" s="13"/>
      <c r="C27" s="13"/>
      <c r="D27" s="13"/>
      <c r="E27" s="13"/>
      <c r="F27" s="13"/>
      <c r="G27" s="13"/>
      <c r="H27" s="13"/>
      <c r="I27" s="13"/>
      <c r="J27" s="9"/>
      <c r="K27" s="9"/>
      <c r="L27" s="9"/>
      <c r="M27" s="9"/>
      <c r="N27" s="9"/>
      <c r="O27" s="9"/>
      <c r="P27" s="9"/>
      <c r="Q27" s="9"/>
      <c r="R27" s="9"/>
      <c r="S27" s="9"/>
      <c r="T27" s="9"/>
      <c r="U27" s="9"/>
      <c r="V27" s="9"/>
      <c r="W27" s="11"/>
    </row>
    <row r="28" ht="15" customHeight="1">
      <c r="A28" t="s" s="37">
        <v>26</v>
      </c>
      <c r="B28" s="38"/>
      <c r="C28" s="13"/>
      <c r="D28" s="13"/>
      <c r="E28" s="13"/>
      <c r="F28" s="13"/>
      <c r="G28" s="13"/>
      <c r="H28" s="13"/>
      <c r="I28" s="13"/>
      <c r="J28" s="9"/>
      <c r="K28" s="9"/>
      <c r="L28" s="9"/>
      <c r="M28" s="9"/>
      <c r="N28" s="9"/>
      <c r="O28" s="9"/>
      <c r="P28" s="9"/>
      <c r="Q28" s="9"/>
      <c r="R28" s="9"/>
      <c r="S28" s="9"/>
      <c r="T28" s="9"/>
      <c r="U28" s="9"/>
      <c r="V28" s="9"/>
      <c r="W28" s="11"/>
    </row>
    <row r="29" ht="15" customHeight="1">
      <c r="A29" t="s" s="39">
        <v>27</v>
      </c>
      <c r="B29" s="31">
        <v>1896</v>
      </c>
      <c r="C29" s="13"/>
      <c r="D29" s="13"/>
      <c r="E29" s="13"/>
      <c r="F29" s="13"/>
      <c r="G29" s="13"/>
      <c r="H29" s="13"/>
      <c r="I29" s="13"/>
      <c r="J29" s="9"/>
      <c r="K29" s="40"/>
      <c r="L29" s="40"/>
      <c r="M29" s="40"/>
      <c r="N29" s="40"/>
      <c r="O29" s="40"/>
      <c r="P29" s="40"/>
      <c r="Q29" s="40"/>
      <c r="R29" s="9"/>
      <c r="S29" s="40"/>
      <c r="T29" s="9"/>
      <c r="U29" s="9"/>
      <c r="V29" s="9"/>
      <c r="W29" s="11"/>
    </row>
    <row r="30" ht="15" customHeight="1">
      <c r="A30" t="s" s="39">
        <v>28</v>
      </c>
      <c r="B30" s="41"/>
      <c r="C30" t="s" s="42">
        <f>IF(AND(B30&gt;0,B11&lt;2),"This rent is not included in total because you do not have 2-unit selected above."," ")</f>
        <v>13</v>
      </c>
      <c r="D30" s="13"/>
      <c r="E30" s="13"/>
      <c r="F30" s="13"/>
      <c r="G30" s="13"/>
      <c r="H30" s="13"/>
      <c r="I30" s="13"/>
      <c r="J30" s="9"/>
      <c r="K30" s="43"/>
      <c r="L30" s="9"/>
      <c r="M30" s="9"/>
      <c r="N30" s="9"/>
      <c r="O30" s="9"/>
      <c r="P30" s="9"/>
      <c r="Q30" s="9"/>
      <c r="R30" s="9"/>
      <c r="S30" s="9"/>
      <c r="T30" s="9"/>
      <c r="U30" s="9"/>
      <c r="V30" s="9"/>
      <c r="W30" s="11"/>
    </row>
    <row r="31" ht="15" customHeight="1">
      <c r="A31" t="s" s="39">
        <v>29</v>
      </c>
      <c r="B31" s="41"/>
      <c r="C31" t="s" s="42">
        <f>IF(AND(B31&gt;0,B11&lt;3),"This rent is not included in total because you do not have 3-unit selected above."," ")</f>
        <v>13</v>
      </c>
      <c r="D31" s="13"/>
      <c r="E31" s="13"/>
      <c r="F31" s="13"/>
      <c r="G31" s="13"/>
      <c r="H31" s="13"/>
      <c r="I31" s="13"/>
      <c r="J31" s="9"/>
      <c r="K31" s="9"/>
      <c r="L31" s="9"/>
      <c r="M31" s="9"/>
      <c r="N31" s="9"/>
      <c r="O31" s="9"/>
      <c r="P31" s="9"/>
      <c r="Q31" s="9"/>
      <c r="R31" s="9"/>
      <c r="S31" s="9"/>
      <c r="T31" s="9"/>
      <c r="U31" s="9"/>
      <c r="V31" s="9"/>
      <c r="W31" s="11"/>
    </row>
    <row r="32" ht="15" customHeight="1">
      <c r="A32" t="s" s="39">
        <v>30</v>
      </c>
      <c r="B32" s="41"/>
      <c r="C32" t="s" s="42">
        <f>IF(AND(B32&gt;0,B11&lt;4),"This rent is not included in total because you do not have 4-unit selected above."," ")</f>
        <v>13</v>
      </c>
      <c r="D32" s="13"/>
      <c r="E32" s="13"/>
      <c r="F32" s="13"/>
      <c r="G32" s="13"/>
      <c r="H32" s="13"/>
      <c r="I32" s="13"/>
      <c r="J32" s="9"/>
      <c r="K32" s="9"/>
      <c r="L32" s="9"/>
      <c r="M32" s="9"/>
      <c r="N32" s="9"/>
      <c r="O32" s="9"/>
      <c r="P32" s="9"/>
      <c r="Q32" s="9"/>
      <c r="R32" s="9"/>
      <c r="S32" s="9"/>
      <c r="T32" s="9"/>
      <c r="U32" s="9"/>
      <c r="V32" s="9"/>
      <c r="W32" s="11"/>
    </row>
    <row r="33" ht="15" customHeight="1">
      <c r="A33" t="s" s="37">
        <v>31</v>
      </c>
      <c r="B33" s="44">
        <f>IF(B11=1,SUM(B29),IF(B11=2,SUM(B29:B30),IF(B11=3,SUM(B29:B31),IF(B11=4,SUM(B29:B32)," "))))</f>
        <v>1896</v>
      </c>
      <c r="C33" s="13"/>
      <c r="D33" s="13"/>
      <c r="E33" s="13"/>
      <c r="F33" s="13"/>
      <c r="G33" s="13"/>
      <c r="H33" s="13"/>
      <c r="I33" s="13"/>
      <c r="J33" s="9"/>
      <c r="K33" s="9"/>
      <c r="L33" s="9"/>
      <c r="M33" s="9"/>
      <c r="N33" s="9"/>
      <c r="O33" s="9"/>
      <c r="P33" s="9"/>
      <c r="Q33" s="9"/>
      <c r="R33" s="9"/>
      <c r="S33" s="9"/>
      <c r="T33" s="9"/>
      <c r="U33" s="9"/>
      <c r="V33" s="9"/>
      <c r="W33" s="11"/>
    </row>
    <row r="34" ht="15" customHeight="1">
      <c r="A34" s="45"/>
      <c r="B34" s="44"/>
      <c r="C34" s="13"/>
      <c r="D34" s="13"/>
      <c r="E34" s="13"/>
      <c r="F34" s="13"/>
      <c r="G34" s="13"/>
      <c r="H34" s="13"/>
      <c r="I34" s="13"/>
      <c r="J34" s="9"/>
      <c r="K34" s="9"/>
      <c r="L34" s="9"/>
      <c r="M34" s="9"/>
      <c r="N34" s="9"/>
      <c r="O34" s="9"/>
      <c r="P34" s="9"/>
      <c r="Q34" s="9"/>
      <c r="R34" s="9"/>
      <c r="S34" s="9"/>
      <c r="T34" s="9"/>
      <c r="U34" s="9"/>
      <c r="V34" s="9"/>
      <c r="W34" s="11"/>
    </row>
    <row r="35" ht="15" customHeight="1">
      <c r="A35" t="s" s="37">
        <v>32</v>
      </c>
      <c r="B35" s="30">
        <v>0.05</v>
      </c>
      <c r="C35" s="13"/>
      <c r="D35" s="13"/>
      <c r="E35" s="13"/>
      <c r="F35" s="13"/>
      <c r="G35" s="13"/>
      <c r="H35" s="13"/>
      <c r="I35" s="13"/>
      <c r="J35" s="9"/>
      <c r="K35" s="9"/>
      <c r="L35" s="9"/>
      <c r="M35" s="9"/>
      <c r="N35" s="9"/>
      <c r="O35" s="9"/>
      <c r="P35" s="9"/>
      <c r="Q35" s="9"/>
      <c r="R35" s="9"/>
      <c r="S35" s="9"/>
      <c r="T35" s="9"/>
      <c r="U35" s="9"/>
      <c r="V35" s="9"/>
      <c r="W35" s="11"/>
    </row>
    <row r="36" ht="15" customHeight="1">
      <c r="A36" s="45"/>
      <c r="B36" s="46"/>
      <c r="C36" s="13"/>
      <c r="D36" s="13"/>
      <c r="E36" s="13"/>
      <c r="F36" s="13"/>
      <c r="G36" s="13"/>
      <c r="H36" s="13"/>
      <c r="I36" s="13"/>
      <c r="J36" s="9"/>
      <c r="K36" s="9"/>
      <c r="L36" s="9"/>
      <c r="M36" s="9"/>
      <c r="N36" s="9"/>
      <c r="O36" s="9"/>
      <c r="P36" s="9"/>
      <c r="Q36" s="9"/>
      <c r="R36" s="9"/>
      <c r="S36" s="9"/>
      <c r="T36" s="9"/>
      <c r="U36" s="9"/>
      <c r="V36" s="9"/>
      <c r="W36" s="11"/>
    </row>
    <row r="37" ht="15" customHeight="1">
      <c r="A37" t="s" s="37">
        <v>33</v>
      </c>
      <c r="B37" s="30">
        <v>0.05</v>
      </c>
      <c r="C37" s="13"/>
      <c r="D37" s="13"/>
      <c r="E37" s="13"/>
      <c r="F37" s="13"/>
      <c r="G37" s="13"/>
      <c r="H37" s="13"/>
      <c r="I37" s="13"/>
      <c r="J37" s="9"/>
      <c r="K37" s="9"/>
      <c r="L37" s="9"/>
      <c r="M37" s="9"/>
      <c r="N37" s="9"/>
      <c r="O37" s="9"/>
      <c r="P37" s="9"/>
      <c r="Q37" s="9"/>
      <c r="R37" s="9"/>
      <c r="S37" s="9"/>
      <c r="T37" s="9"/>
      <c r="U37" s="9"/>
      <c r="V37" s="9"/>
      <c r="W37" s="11"/>
    </row>
    <row r="38" ht="15" customHeight="1">
      <c r="A38" s="45"/>
      <c r="B38" s="13"/>
      <c r="C38" t="s" s="47">
        <f>IF(B39&gt;0.06,"REMINDER - The national average appreciation for the last 40 years is 6%"," ")</f>
        <v>13</v>
      </c>
      <c r="D38" s="48"/>
      <c r="E38" s="48"/>
      <c r="F38" s="48"/>
      <c r="G38" s="48"/>
      <c r="H38" s="48"/>
      <c r="I38" s="48"/>
      <c r="J38" s="9"/>
      <c r="K38" s="9"/>
      <c r="L38" s="9"/>
      <c r="M38" s="9"/>
      <c r="N38" s="9"/>
      <c r="O38" s="9"/>
      <c r="P38" s="9"/>
      <c r="Q38" s="9"/>
      <c r="R38" s="9"/>
      <c r="S38" s="9"/>
      <c r="T38" s="9"/>
      <c r="U38" s="9"/>
      <c r="V38" s="9"/>
      <c r="W38" s="11"/>
    </row>
    <row r="39" ht="15" customHeight="1">
      <c r="A39" t="s" s="37">
        <v>34</v>
      </c>
      <c r="B39" s="49">
        <v>0.06</v>
      </c>
      <c r="C39" s="48"/>
      <c r="D39" s="48"/>
      <c r="E39" s="48"/>
      <c r="F39" s="48"/>
      <c r="G39" s="48"/>
      <c r="H39" s="48"/>
      <c r="I39" s="48"/>
      <c r="J39" s="9"/>
      <c r="K39" s="9"/>
      <c r="L39" s="9"/>
      <c r="M39" s="9"/>
      <c r="N39" s="9"/>
      <c r="O39" s="9"/>
      <c r="P39" s="9"/>
      <c r="Q39" s="9"/>
      <c r="R39" s="9"/>
      <c r="S39" s="9"/>
      <c r="T39" s="9"/>
      <c r="U39" s="9"/>
      <c r="V39" s="9"/>
      <c r="W39" s="11"/>
    </row>
    <row r="40" ht="15" customHeight="1">
      <c r="A40" s="24"/>
      <c r="B40" s="13"/>
      <c r="C40" s="13"/>
      <c r="D40" s="13"/>
      <c r="E40" s="13"/>
      <c r="F40" s="13"/>
      <c r="G40" s="13"/>
      <c r="H40" s="13"/>
      <c r="I40" s="13"/>
      <c r="J40" s="9"/>
      <c r="K40" s="9"/>
      <c r="L40" s="9"/>
      <c r="M40" s="9"/>
      <c r="N40" s="9"/>
      <c r="O40" s="9"/>
      <c r="P40" s="9"/>
      <c r="Q40" s="9"/>
      <c r="R40" s="9"/>
      <c r="S40" s="9"/>
      <c r="T40" s="9"/>
      <c r="U40" s="9"/>
      <c r="V40" s="9"/>
      <c r="W40" s="11"/>
    </row>
    <row r="41" ht="15" customHeight="1">
      <c r="A41" t="s" s="37">
        <v>35</v>
      </c>
      <c r="B41" s="38"/>
      <c r="C41" s="13"/>
      <c r="D41" t="s" s="14">
        <v>36</v>
      </c>
      <c r="E41" s="38"/>
      <c r="F41" s="38"/>
      <c r="G41" s="38"/>
      <c r="H41" s="38"/>
      <c r="I41" s="13"/>
      <c r="J41" s="9"/>
      <c r="K41" s="9"/>
      <c r="L41" s="9"/>
      <c r="M41" s="9"/>
      <c r="N41" s="9"/>
      <c r="O41" s="9"/>
      <c r="P41" s="9"/>
      <c r="Q41" s="9"/>
      <c r="R41" s="9"/>
      <c r="S41" s="9"/>
      <c r="T41" s="9"/>
      <c r="U41" s="9"/>
      <c r="V41" s="9"/>
      <c r="W41" s="11"/>
    </row>
    <row r="42" ht="15" customHeight="1">
      <c r="A42" t="s" s="50">
        <v>37</v>
      </c>
      <c r="B42" s="51">
        <v>925</v>
      </c>
      <c r="C42" s="13"/>
      <c r="D42" s="52"/>
      <c r="E42" s="52"/>
      <c r="F42" s="52"/>
      <c r="G42" s="52"/>
      <c r="H42" s="52"/>
      <c r="I42" s="13"/>
      <c r="J42" s="9"/>
      <c r="K42" s="9"/>
      <c r="L42" s="9"/>
      <c r="M42" s="9"/>
      <c r="N42" s="9"/>
      <c r="O42" s="9"/>
      <c r="P42" s="9"/>
      <c r="Q42" s="9"/>
      <c r="R42" s="9"/>
      <c r="S42" s="9"/>
      <c r="T42" s="9"/>
      <c r="U42" s="9"/>
      <c r="V42" s="9"/>
      <c r="W42" s="11"/>
    </row>
    <row r="43" ht="15" customHeight="1">
      <c r="A43" t="s" s="50">
        <v>38</v>
      </c>
      <c r="B43" s="51">
        <v>250</v>
      </c>
      <c r="C43" s="13"/>
      <c r="D43" s="52"/>
      <c r="E43" s="52"/>
      <c r="F43" s="52"/>
      <c r="G43" s="52"/>
      <c r="H43" s="52"/>
      <c r="I43" s="13"/>
      <c r="J43" s="9"/>
      <c r="K43" s="9"/>
      <c r="L43" s="9"/>
      <c r="M43" s="9"/>
      <c r="N43" s="9"/>
      <c r="O43" s="9"/>
      <c r="P43" s="9"/>
      <c r="Q43" s="9"/>
      <c r="R43" s="9"/>
      <c r="S43" s="9"/>
      <c r="T43" s="9"/>
      <c r="U43" s="9"/>
      <c r="V43" s="9"/>
      <c r="W43" s="11"/>
    </row>
    <row r="44" ht="15" customHeight="1">
      <c r="A44" t="s" s="50">
        <v>39</v>
      </c>
      <c r="B44" s="53">
        <v>1800</v>
      </c>
      <c r="C44" s="13"/>
      <c r="D44" t="s" s="52">
        <v>40</v>
      </c>
      <c r="E44" s="52"/>
      <c r="F44" s="52"/>
      <c r="G44" s="52"/>
      <c r="H44" s="52"/>
      <c r="I44" s="13"/>
      <c r="J44" s="9"/>
      <c r="K44" s="9"/>
      <c r="L44" s="9"/>
      <c r="M44" s="9"/>
      <c r="N44" s="9"/>
      <c r="O44" s="9"/>
      <c r="P44" s="9"/>
      <c r="Q44" s="9"/>
      <c r="R44" s="9"/>
      <c r="S44" s="9"/>
      <c r="T44" s="9"/>
      <c r="U44" s="9"/>
      <c r="V44" s="9"/>
      <c r="W44" s="11"/>
    </row>
    <row r="45" ht="15" customHeight="1">
      <c r="A45" t="s" s="50">
        <v>41</v>
      </c>
      <c r="B45" s="54">
        <f>B33*0.05*12</f>
        <v>1137.6</v>
      </c>
      <c r="C45" s="13"/>
      <c r="D45" t="s" s="52">
        <v>42</v>
      </c>
      <c r="E45" s="52"/>
      <c r="F45" s="52"/>
      <c r="G45" s="52"/>
      <c r="H45" s="52"/>
      <c r="I45" s="13"/>
      <c r="J45" s="9"/>
      <c r="K45" s="9"/>
      <c r="L45" s="9"/>
      <c r="M45" s="9"/>
      <c r="N45" s="9"/>
      <c r="O45" s="9"/>
      <c r="P45" s="9"/>
      <c r="Q45" s="9"/>
      <c r="R45" s="9"/>
      <c r="S45" s="9"/>
      <c r="T45" s="9"/>
      <c r="U45" s="9"/>
      <c r="V45" s="9"/>
      <c r="W45" s="11"/>
    </row>
    <row r="46" ht="15" customHeight="1">
      <c r="A46" t="s" s="50">
        <v>43</v>
      </c>
      <c r="B46" s="55"/>
      <c r="C46" s="13"/>
      <c r="D46" s="52"/>
      <c r="E46" s="52"/>
      <c r="F46" s="52"/>
      <c r="G46" s="52"/>
      <c r="H46" s="52"/>
      <c r="I46" s="13"/>
      <c r="J46" s="9"/>
      <c r="K46" s="9"/>
      <c r="L46" s="9"/>
      <c r="M46" s="9"/>
      <c r="N46" s="9"/>
      <c r="O46" s="9"/>
      <c r="P46" s="9"/>
      <c r="Q46" s="9"/>
      <c r="R46" s="9"/>
      <c r="S46" s="9"/>
      <c r="T46" s="9"/>
      <c r="U46" s="9"/>
      <c r="V46" s="9"/>
      <c r="W46" s="11"/>
    </row>
    <row r="47" ht="15" customHeight="1">
      <c r="A47" t="s" s="50">
        <v>44</v>
      </c>
      <c r="B47" s="55"/>
      <c r="C47" s="13"/>
      <c r="D47" s="52"/>
      <c r="E47" s="52"/>
      <c r="F47" s="52"/>
      <c r="G47" s="52"/>
      <c r="H47" s="52"/>
      <c r="I47" s="13"/>
      <c r="J47" s="9"/>
      <c r="K47" s="9"/>
      <c r="L47" s="9"/>
      <c r="M47" s="9"/>
      <c r="N47" s="9"/>
      <c r="O47" s="9"/>
      <c r="P47" s="9"/>
      <c r="Q47" s="9"/>
      <c r="R47" s="9"/>
      <c r="S47" s="9"/>
      <c r="T47" s="9"/>
      <c r="U47" s="9"/>
      <c r="V47" s="9"/>
      <c r="W47" s="11"/>
    </row>
    <row r="48" ht="15" customHeight="1">
      <c r="A48" t="s" s="50">
        <v>45</v>
      </c>
      <c r="B48" s="55"/>
      <c r="C48" s="13"/>
      <c r="D48" s="52"/>
      <c r="E48" s="52"/>
      <c r="F48" s="52"/>
      <c r="G48" s="52"/>
      <c r="H48" s="52"/>
      <c r="I48" s="13"/>
      <c r="J48" s="9"/>
      <c r="K48" s="9"/>
      <c r="L48" s="9"/>
      <c r="M48" s="9"/>
      <c r="N48" s="9"/>
      <c r="O48" s="9"/>
      <c r="P48" s="9"/>
      <c r="Q48" s="9"/>
      <c r="R48" s="9"/>
      <c r="S48" s="9"/>
      <c r="T48" s="9"/>
      <c r="U48" s="9"/>
      <c r="V48" s="9"/>
      <c r="W48" s="11"/>
    </row>
    <row r="49" ht="15" customHeight="1">
      <c r="A49" t="s" s="50">
        <v>46</v>
      </c>
      <c r="B49" s="55"/>
      <c r="C49" s="13"/>
      <c r="D49" s="52"/>
      <c r="E49" s="52"/>
      <c r="F49" s="52"/>
      <c r="G49" s="52"/>
      <c r="H49" s="52"/>
      <c r="I49" s="13"/>
      <c r="J49" s="9"/>
      <c r="K49" s="9"/>
      <c r="L49" s="9"/>
      <c r="M49" s="9"/>
      <c r="N49" s="9"/>
      <c r="O49" s="9"/>
      <c r="P49" s="9"/>
      <c r="Q49" s="9"/>
      <c r="R49" s="9"/>
      <c r="S49" s="9"/>
      <c r="T49" s="9"/>
      <c r="U49" s="9"/>
      <c r="V49" s="9"/>
      <c r="W49" s="11"/>
    </row>
    <row r="50" ht="15" customHeight="1">
      <c r="A50" t="s" s="50">
        <v>47</v>
      </c>
      <c r="B50" s="55"/>
      <c r="C50" s="13"/>
      <c r="D50" s="52"/>
      <c r="E50" s="52"/>
      <c r="F50" s="52"/>
      <c r="G50" s="52"/>
      <c r="H50" s="52"/>
      <c r="I50" s="13"/>
      <c r="J50" s="9"/>
      <c r="K50" s="9"/>
      <c r="L50" s="9"/>
      <c r="M50" s="9"/>
      <c r="N50" s="9"/>
      <c r="O50" s="9"/>
      <c r="P50" s="9"/>
      <c r="Q50" s="9"/>
      <c r="R50" s="9"/>
      <c r="S50" s="9"/>
      <c r="T50" s="9"/>
      <c r="U50" s="9"/>
      <c r="V50" s="9"/>
      <c r="W50" s="11"/>
    </row>
    <row r="51" ht="15" customHeight="1">
      <c r="A51" t="s" s="50">
        <v>48</v>
      </c>
      <c r="B51" s="51">
        <v>2400</v>
      </c>
      <c r="C51" s="13"/>
      <c r="D51" s="52"/>
      <c r="E51" s="52"/>
      <c r="F51" s="52"/>
      <c r="G51" s="52"/>
      <c r="H51" s="52"/>
      <c r="I51" s="13"/>
      <c r="J51" s="9"/>
      <c r="K51" s="9"/>
      <c r="L51" s="9"/>
      <c r="M51" s="9"/>
      <c r="N51" s="9"/>
      <c r="O51" s="9"/>
      <c r="P51" s="9"/>
      <c r="Q51" s="9"/>
      <c r="R51" s="9"/>
      <c r="S51" s="9"/>
      <c r="T51" s="9"/>
      <c r="U51" s="9"/>
      <c r="V51" s="9"/>
      <c r="W51" s="11"/>
    </row>
    <row r="52" ht="15" customHeight="1">
      <c r="A52" t="s" s="56">
        <v>49</v>
      </c>
      <c r="B52" s="55"/>
      <c r="C52" s="13"/>
      <c r="D52" s="52"/>
      <c r="E52" s="52"/>
      <c r="F52" s="52"/>
      <c r="G52" s="52"/>
      <c r="H52" s="52"/>
      <c r="I52" s="13"/>
      <c r="J52" s="9"/>
      <c r="K52" s="9"/>
      <c r="L52" s="9"/>
      <c r="M52" s="9"/>
      <c r="N52" s="9"/>
      <c r="O52" s="9"/>
      <c r="P52" s="9"/>
      <c r="Q52" s="9"/>
      <c r="R52" s="9"/>
      <c r="S52" s="9"/>
      <c r="T52" s="9"/>
      <c r="U52" s="9"/>
      <c r="V52" s="9"/>
      <c r="W52" s="11"/>
    </row>
    <row r="53" ht="15" customHeight="1">
      <c r="A53" t="s" s="56">
        <v>49</v>
      </c>
      <c r="B53" s="55"/>
      <c r="C53" s="13"/>
      <c r="D53" s="52"/>
      <c r="E53" s="52"/>
      <c r="F53" s="52"/>
      <c r="G53" s="52"/>
      <c r="H53" s="52"/>
      <c r="I53" s="13"/>
      <c r="J53" s="9"/>
      <c r="K53" s="9"/>
      <c r="L53" s="9"/>
      <c r="M53" s="9"/>
      <c r="N53" s="9"/>
      <c r="O53" s="9"/>
      <c r="P53" s="9"/>
      <c r="Q53" s="9"/>
      <c r="R53" s="9"/>
      <c r="S53" s="9"/>
      <c r="T53" s="9"/>
      <c r="U53" s="9"/>
      <c r="V53" s="9"/>
      <c r="W53" s="11"/>
    </row>
    <row r="54" ht="15" customHeight="1">
      <c r="A54" t="s" s="56">
        <v>49</v>
      </c>
      <c r="B54" s="55"/>
      <c r="C54" s="13"/>
      <c r="D54" s="52"/>
      <c r="E54" s="52"/>
      <c r="F54" s="52"/>
      <c r="G54" s="52"/>
      <c r="H54" s="52"/>
      <c r="I54" s="13"/>
      <c r="J54" s="9"/>
      <c r="K54" s="9"/>
      <c r="L54" s="9"/>
      <c r="M54" s="9"/>
      <c r="N54" s="9"/>
      <c r="O54" s="9"/>
      <c r="P54" s="9"/>
      <c r="Q54" s="9"/>
      <c r="R54" s="9"/>
      <c r="S54" s="9"/>
      <c r="T54" s="9"/>
      <c r="U54" s="9"/>
      <c r="V54" s="9"/>
      <c r="W54" s="11"/>
    </row>
    <row r="55" ht="15" customHeight="1">
      <c r="A55" t="s" s="56">
        <v>49</v>
      </c>
      <c r="B55" s="55"/>
      <c r="C55" s="13"/>
      <c r="D55" s="52"/>
      <c r="E55" s="52"/>
      <c r="F55" s="52"/>
      <c r="G55" s="52"/>
      <c r="H55" s="52"/>
      <c r="I55" s="13"/>
      <c r="J55" s="9"/>
      <c r="K55" s="9"/>
      <c r="L55" s="9"/>
      <c r="M55" s="9"/>
      <c r="N55" s="9"/>
      <c r="O55" s="9"/>
      <c r="P55" s="9"/>
      <c r="Q55" s="9"/>
      <c r="R55" s="9"/>
      <c r="S55" s="9"/>
      <c r="T55" s="9"/>
      <c r="U55" s="9"/>
      <c r="V55" s="9"/>
      <c r="W55" s="11"/>
    </row>
    <row r="56" ht="15" customHeight="1">
      <c r="A56" t="s" s="56">
        <v>49</v>
      </c>
      <c r="B56" s="55"/>
      <c r="C56" s="13"/>
      <c r="D56" s="52"/>
      <c r="E56" s="52"/>
      <c r="F56" s="52"/>
      <c r="G56" s="52"/>
      <c r="H56" s="52"/>
      <c r="I56" s="13"/>
      <c r="J56" s="9"/>
      <c r="K56" s="9"/>
      <c r="L56" s="9"/>
      <c r="M56" s="9"/>
      <c r="N56" s="9"/>
      <c r="O56" s="9"/>
      <c r="P56" s="9"/>
      <c r="Q56" s="9"/>
      <c r="R56" s="9"/>
      <c r="S56" s="9"/>
      <c r="T56" s="9"/>
      <c r="U56" s="9"/>
      <c r="V56" s="9"/>
      <c r="W56" s="11"/>
    </row>
    <row r="57" ht="15" customHeight="1">
      <c r="A57" s="24"/>
      <c r="B57" s="13"/>
      <c r="C57" s="13"/>
      <c r="D57" s="13"/>
      <c r="E57" s="13"/>
      <c r="F57" s="13"/>
      <c r="G57" s="13"/>
      <c r="H57" s="13"/>
      <c r="I57" s="13"/>
      <c r="J57" s="9"/>
      <c r="K57" s="9"/>
      <c r="L57" s="9"/>
      <c r="M57" s="9"/>
      <c r="N57" s="9"/>
      <c r="O57" s="9"/>
      <c r="P57" s="9"/>
      <c r="Q57" s="9"/>
      <c r="R57" s="9"/>
      <c r="S57" s="9"/>
      <c r="T57" s="9"/>
      <c r="U57" s="9"/>
      <c r="V57" s="9"/>
      <c r="W57" s="11"/>
    </row>
    <row r="58" ht="15" customHeight="1">
      <c r="A58" s="24"/>
      <c r="B58" s="13"/>
      <c r="C58" s="13"/>
      <c r="D58" s="13"/>
      <c r="E58" s="13"/>
      <c r="F58" s="13"/>
      <c r="G58" s="13"/>
      <c r="H58" s="13"/>
      <c r="I58" s="13"/>
      <c r="J58" s="9"/>
      <c r="K58" s="9"/>
      <c r="L58" s="9"/>
      <c r="M58" s="9"/>
      <c r="N58" s="9"/>
      <c r="O58" s="9"/>
      <c r="P58" s="9"/>
      <c r="Q58" s="9"/>
      <c r="R58" s="9"/>
      <c r="S58" s="9"/>
      <c r="T58" s="9"/>
      <c r="U58" s="9"/>
      <c r="V58" s="9"/>
      <c r="W58" s="11"/>
    </row>
    <row r="59" ht="15" customHeight="1">
      <c r="A59" t="s" s="25">
        <v>50</v>
      </c>
      <c r="B59" s="13"/>
      <c r="C59" s="13"/>
      <c r="D59" s="13"/>
      <c r="E59" s="13"/>
      <c r="F59" s="13"/>
      <c r="G59" s="13"/>
      <c r="H59" s="13"/>
      <c r="I59" s="13"/>
      <c r="J59" s="9"/>
      <c r="K59" s="9"/>
      <c r="L59" s="9"/>
      <c r="M59" s="9"/>
      <c r="N59" s="9"/>
      <c r="O59" s="9"/>
      <c r="P59" s="9"/>
      <c r="Q59" s="9"/>
      <c r="R59" s="9"/>
      <c r="S59" s="9"/>
      <c r="T59" s="9"/>
      <c r="U59" s="9"/>
      <c r="V59" s="9"/>
      <c r="W59" s="11"/>
    </row>
    <row r="60" ht="15" customHeight="1">
      <c r="A60" t="s" s="50">
        <v>51</v>
      </c>
      <c r="B60" s="13"/>
      <c r="C60" s="13"/>
      <c r="D60" s="13"/>
      <c r="E60" s="57">
        <v>0.05</v>
      </c>
      <c r="F60" s="13"/>
      <c r="G60" s="13"/>
      <c r="H60" s="13"/>
      <c r="I60" s="13"/>
      <c r="J60" s="9"/>
      <c r="K60" s="9"/>
      <c r="L60" s="9"/>
      <c r="M60" s="9"/>
      <c r="N60" s="9"/>
      <c r="O60" s="9"/>
      <c r="P60" s="9"/>
      <c r="Q60" s="9"/>
      <c r="R60" s="9"/>
      <c r="S60" s="9"/>
      <c r="T60" s="9"/>
      <c r="U60" s="9"/>
      <c r="V60" s="9"/>
      <c r="W60" s="11"/>
    </row>
    <row r="61" ht="15" customHeight="1">
      <c r="A61" t="s" s="50">
        <v>52</v>
      </c>
      <c r="B61" s="13"/>
      <c r="C61" s="13"/>
      <c r="D61" s="13"/>
      <c r="E61" s="57">
        <v>0.05</v>
      </c>
      <c r="F61" s="13"/>
      <c r="G61" s="13"/>
      <c r="H61" s="13"/>
      <c r="I61" s="13"/>
      <c r="J61" s="9"/>
      <c r="K61" s="9"/>
      <c r="L61" s="9"/>
      <c r="M61" s="9"/>
      <c r="N61" s="9"/>
      <c r="O61" s="9"/>
      <c r="P61" s="9"/>
      <c r="Q61" s="9"/>
      <c r="R61" s="9"/>
      <c r="S61" s="9"/>
      <c r="T61" s="9"/>
      <c r="U61" s="9"/>
      <c r="V61" s="9"/>
      <c r="W61" s="11"/>
    </row>
    <row r="62" ht="15" customHeight="1">
      <c r="A62" t="s" s="50">
        <v>53</v>
      </c>
      <c r="B62" s="13"/>
      <c r="C62" s="13"/>
      <c r="D62" s="13"/>
      <c r="E62" s="57">
        <v>0.05</v>
      </c>
      <c r="F62" s="13"/>
      <c r="G62" s="13"/>
      <c r="H62" s="13"/>
      <c r="I62" s="13"/>
      <c r="J62" s="9"/>
      <c r="K62" s="9"/>
      <c r="L62" s="9"/>
      <c r="M62" s="9"/>
      <c r="N62" s="9"/>
      <c r="O62" s="9"/>
      <c r="P62" s="9"/>
      <c r="Q62" s="9"/>
      <c r="R62" s="9"/>
      <c r="S62" s="9"/>
      <c r="T62" s="9"/>
      <c r="U62" s="9"/>
      <c r="V62" s="9"/>
      <c r="W62" s="11"/>
    </row>
    <row r="63" ht="15" customHeight="1">
      <c r="A63" s="24"/>
      <c r="B63" s="13"/>
      <c r="C63" s="13"/>
      <c r="D63" s="13"/>
      <c r="E63" s="13"/>
      <c r="F63" s="13"/>
      <c r="G63" s="13"/>
      <c r="H63" s="13"/>
      <c r="I63" s="13"/>
      <c r="J63" s="9"/>
      <c r="K63" s="9"/>
      <c r="L63" s="9"/>
      <c r="M63" s="9"/>
      <c r="N63" s="9"/>
      <c r="O63" s="9"/>
      <c r="P63" s="9"/>
      <c r="Q63" s="9"/>
      <c r="R63" s="9"/>
      <c r="S63" s="9"/>
      <c r="T63" s="9"/>
      <c r="U63" s="9"/>
      <c r="V63" s="9"/>
      <c r="W63" s="11"/>
    </row>
    <row r="64" ht="15" customHeight="1">
      <c r="A64" s="24"/>
      <c r="B64" s="13"/>
      <c r="C64" s="13"/>
      <c r="D64" s="13"/>
      <c r="E64" s="13"/>
      <c r="F64" s="13"/>
      <c r="G64" s="13"/>
      <c r="H64" s="13"/>
      <c r="I64" s="13"/>
      <c r="J64" s="9"/>
      <c r="K64" s="9"/>
      <c r="L64" s="9"/>
      <c r="M64" s="9"/>
      <c r="N64" s="9"/>
      <c r="O64" s="9"/>
      <c r="P64" s="9"/>
      <c r="Q64" s="9"/>
      <c r="R64" s="9"/>
      <c r="S64" s="9"/>
      <c r="T64" s="9"/>
      <c r="U64" s="9"/>
      <c r="V64" s="9"/>
      <c r="W64" s="11"/>
    </row>
    <row r="65" ht="15" customHeight="1">
      <c r="A65" s="24"/>
      <c r="B65" s="13"/>
      <c r="C65" s="13"/>
      <c r="D65" s="13"/>
      <c r="E65" s="13"/>
      <c r="F65" s="13"/>
      <c r="G65" s="13"/>
      <c r="H65" s="13"/>
      <c r="I65" s="13"/>
      <c r="J65" s="9"/>
      <c r="K65" s="9"/>
      <c r="L65" s="9"/>
      <c r="M65" s="9"/>
      <c r="N65" s="9"/>
      <c r="O65" s="9"/>
      <c r="P65" s="9"/>
      <c r="Q65" s="9"/>
      <c r="R65" s="9"/>
      <c r="S65" s="9"/>
      <c r="T65" s="9"/>
      <c r="U65" s="9"/>
      <c r="V65" s="9"/>
      <c r="W65" s="11"/>
    </row>
    <row r="66" ht="15" customHeight="1">
      <c r="A66" s="24"/>
      <c r="B66" s="13"/>
      <c r="C66" s="13"/>
      <c r="D66" s="13"/>
      <c r="E66" s="13"/>
      <c r="F66" s="13"/>
      <c r="G66" s="13"/>
      <c r="H66" s="13"/>
      <c r="I66" s="13"/>
      <c r="J66" s="9"/>
      <c r="K66" s="9"/>
      <c r="L66" s="9"/>
      <c r="M66" s="9"/>
      <c r="N66" s="9"/>
      <c r="O66" s="9"/>
      <c r="P66" s="9"/>
      <c r="Q66" s="9"/>
      <c r="R66" s="9"/>
      <c r="S66" s="9"/>
      <c r="T66" s="9"/>
      <c r="U66" s="9"/>
      <c r="V66" s="9"/>
      <c r="W66" s="11"/>
    </row>
    <row r="67" ht="15" customHeight="1">
      <c r="A67" t="s" s="58">
        <v>54</v>
      </c>
      <c r="B67" s="15"/>
      <c r="C67" s="15"/>
      <c r="D67" s="15"/>
      <c r="E67" s="15"/>
      <c r="F67" s="15"/>
      <c r="G67" s="15"/>
      <c r="H67" s="15"/>
      <c r="I67" s="15"/>
      <c r="J67" s="9"/>
      <c r="K67" s="9"/>
      <c r="L67" s="9"/>
      <c r="M67" s="9"/>
      <c r="N67" s="9"/>
      <c r="O67" s="9"/>
      <c r="P67" s="9"/>
      <c r="Q67" s="9"/>
      <c r="R67" s="9"/>
      <c r="S67" s="9"/>
      <c r="T67" s="9"/>
      <c r="U67" s="9"/>
      <c r="V67" s="9"/>
      <c r="W67" s="11"/>
    </row>
    <row r="68" ht="15" customHeight="1">
      <c r="A68" s="12"/>
      <c r="B68" s="15"/>
      <c r="C68" s="15"/>
      <c r="D68" s="15"/>
      <c r="E68" s="15"/>
      <c r="F68" s="15"/>
      <c r="G68" s="15"/>
      <c r="H68" s="15"/>
      <c r="I68" s="15"/>
      <c r="J68" s="9"/>
      <c r="K68" s="9"/>
      <c r="L68" s="9"/>
      <c r="M68" s="9"/>
      <c r="N68" s="9"/>
      <c r="O68" s="9"/>
      <c r="P68" s="9"/>
      <c r="Q68" s="9"/>
      <c r="R68" s="9"/>
      <c r="S68" s="9"/>
      <c r="T68" s="9"/>
      <c r="U68" s="9"/>
      <c r="V68" s="9"/>
      <c r="W68" s="11"/>
    </row>
    <row r="69" ht="15" customHeight="1">
      <c r="A69" s="12"/>
      <c r="B69" s="15"/>
      <c r="C69" s="15"/>
      <c r="D69" s="15"/>
      <c r="E69" s="15"/>
      <c r="F69" s="15"/>
      <c r="G69" s="15"/>
      <c r="H69" s="15"/>
      <c r="I69" s="15"/>
      <c r="J69" s="9"/>
      <c r="K69" s="9"/>
      <c r="L69" s="9"/>
      <c r="M69" s="9"/>
      <c r="N69" s="9"/>
      <c r="O69" s="9"/>
      <c r="P69" s="9"/>
      <c r="Q69" s="9"/>
      <c r="R69" s="9"/>
      <c r="S69" s="9"/>
      <c r="T69" s="9"/>
      <c r="U69" s="9"/>
      <c r="V69" s="9"/>
      <c r="W69" s="11"/>
    </row>
    <row r="70" ht="15" customHeight="1">
      <c r="A70" s="12"/>
      <c r="B70" s="15"/>
      <c r="C70" s="15"/>
      <c r="D70" s="15"/>
      <c r="E70" s="15"/>
      <c r="F70" s="15"/>
      <c r="G70" s="15"/>
      <c r="H70" s="15"/>
      <c r="I70" s="15"/>
      <c r="J70" s="9"/>
      <c r="K70" s="9"/>
      <c r="L70" s="9"/>
      <c r="M70" s="9"/>
      <c r="N70" s="9"/>
      <c r="O70" s="9"/>
      <c r="P70" s="9"/>
      <c r="Q70" s="9"/>
      <c r="R70" s="9"/>
      <c r="S70" s="9"/>
      <c r="T70" s="9"/>
      <c r="U70" s="9"/>
      <c r="V70" s="9"/>
      <c r="W70" s="11"/>
    </row>
    <row r="71" ht="15" customHeight="1">
      <c r="A71" s="59"/>
      <c r="B71" s="60"/>
      <c r="C71" s="60"/>
      <c r="D71" s="60"/>
      <c r="E71" s="60"/>
      <c r="F71" s="60"/>
      <c r="G71" s="60"/>
      <c r="H71" s="60"/>
      <c r="I71" s="60"/>
      <c r="J71" s="61"/>
      <c r="K71" s="61"/>
      <c r="L71" s="61"/>
      <c r="M71" s="61"/>
      <c r="N71" s="61"/>
      <c r="O71" s="61"/>
      <c r="P71" s="61"/>
      <c r="Q71" s="61"/>
      <c r="R71" s="61"/>
      <c r="S71" s="61"/>
      <c r="T71" s="61"/>
      <c r="U71" s="61"/>
      <c r="V71" s="61"/>
      <c r="W71" s="62"/>
    </row>
  </sheetData>
  <mergeCells count="29">
    <mergeCell ref="D42:H42"/>
    <mergeCell ref="D41:H41"/>
    <mergeCell ref="C15:I16"/>
    <mergeCell ref="D43:H43"/>
    <mergeCell ref="A41:B41"/>
    <mergeCell ref="C38:I39"/>
    <mergeCell ref="A28:B28"/>
    <mergeCell ref="D44:H44"/>
    <mergeCell ref="B5:I5"/>
    <mergeCell ref="C17:H19"/>
    <mergeCell ref="A2:I2"/>
    <mergeCell ref="A1:I1"/>
    <mergeCell ref="D56:H56"/>
    <mergeCell ref="D54:H54"/>
    <mergeCell ref="D53:H53"/>
    <mergeCell ref="D48:H48"/>
    <mergeCell ref="B8:I8"/>
    <mergeCell ref="D47:H47"/>
    <mergeCell ref="D50:H50"/>
    <mergeCell ref="D49:H49"/>
    <mergeCell ref="D46:H46"/>
    <mergeCell ref="B7:I7"/>
    <mergeCell ref="B6:I6"/>
    <mergeCell ref="D45:H45"/>
    <mergeCell ref="C12:I14"/>
    <mergeCell ref="D55:H55"/>
    <mergeCell ref="A67:I71"/>
    <mergeCell ref="D51:H51"/>
    <mergeCell ref="D52:H52"/>
  </mergeCells>
  <pageMargins left="0.7" right="0.7" top="0.75" bottom="0.75" header="0.3" footer="0.3"/>
  <pageSetup firstPageNumber="1" fitToHeight="1" fitToWidth="1" scale="67" useFirstPageNumber="0" orientation="portrait" pageOrder="downThenOver"/>
  <headerFooter>
    <oddFooter>&amp;C&amp;"Helvetica Neue,Regular"&amp;12&amp;K000000&amp;P</oddFooter>
  </headerFooter>
  <drawing r:id="rId1"/>
  <legacyDrawing r:id="rId2"/>
</worksheet>
</file>

<file path=xl/worksheets/sheet2.xml><?xml version="1.0" encoding="utf-8"?>
<worksheet xmlns:r="http://schemas.openxmlformats.org/officeDocument/2006/relationships" xmlns="http://schemas.openxmlformats.org/spreadsheetml/2006/main">
  <dimension ref="A1:K55"/>
  <sheetViews>
    <sheetView workbookViewId="0" showGridLines="0" defaultGridColor="1"/>
  </sheetViews>
  <sheetFormatPr defaultColWidth="9.16667" defaultRowHeight="14.4" customHeight="1" outlineLevelRow="0" outlineLevelCol="0"/>
  <cols>
    <col min="1" max="1" width="18" style="63" customWidth="1"/>
    <col min="2" max="2" width="19.8516" style="63" customWidth="1"/>
    <col min="3" max="3" width="17.3516" style="63" customWidth="1"/>
    <col min="4" max="4" width="8.17188" style="63" customWidth="1"/>
    <col min="5" max="5" width="10.8516" style="63" customWidth="1"/>
    <col min="6" max="6" width="4" style="63" customWidth="1"/>
    <col min="7" max="7" width="10.8516" style="63" customWidth="1"/>
    <col min="8" max="8" width="1.85156" style="63" customWidth="1"/>
    <col min="9" max="9" width="10.5" style="63" customWidth="1"/>
    <col min="10" max="10" width="7.35156" style="63" customWidth="1"/>
    <col min="11" max="11" width="3.5" style="63" customWidth="1"/>
    <col min="12" max="256" width="9.17188" style="63" customWidth="1"/>
  </cols>
  <sheetData>
    <row r="1" ht="18" customHeight="1">
      <c r="A1" t="s" s="64">
        <v>55</v>
      </c>
      <c r="B1" s="65"/>
      <c r="C1" t="s" s="66">
        <f>'Inputs'!B10</f>
        <v>56</v>
      </c>
      <c r="D1" s="65"/>
      <c r="E1" s="65"/>
      <c r="F1" s="65"/>
      <c r="G1" s="65"/>
      <c r="H1" s="65"/>
      <c r="I1" s="65"/>
      <c r="J1" s="65"/>
      <c r="K1" s="67"/>
    </row>
    <row r="2" ht="15" customHeight="1">
      <c r="A2" s="24"/>
      <c r="B2" s="13"/>
      <c r="C2" s="13"/>
      <c r="D2" s="13"/>
      <c r="E2" s="13"/>
      <c r="F2" s="13"/>
      <c r="G2" s="13"/>
      <c r="H2" s="13"/>
      <c r="I2" s="13"/>
      <c r="J2" s="13"/>
      <c r="K2" s="68"/>
    </row>
    <row r="3" ht="15.6" customHeight="1">
      <c r="A3" t="s" s="69">
        <v>57</v>
      </c>
      <c r="B3" s="13"/>
      <c r="C3" s="70">
        <f>'Inputs'!B11</f>
        <v>1</v>
      </c>
      <c r="D3" s="13"/>
      <c r="E3" s="13"/>
      <c r="F3" s="13"/>
      <c r="G3" s="13"/>
      <c r="H3" s="13"/>
      <c r="I3" s="13"/>
      <c r="J3" s="13"/>
      <c r="K3" s="68"/>
    </row>
    <row r="4" ht="15" customHeight="1">
      <c r="A4" s="24"/>
      <c r="B4" s="13"/>
      <c r="C4" s="13"/>
      <c r="D4" s="13"/>
      <c r="E4" s="13"/>
      <c r="F4" s="13"/>
      <c r="G4" s="13"/>
      <c r="H4" s="13"/>
      <c r="I4" s="13"/>
      <c r="J4" s="13"/>
      <c r="K4" s="68"/>
    </row>
    <row r="5" ht="18" customHeight="1">
      <c r="A5" t="s" s="71">
        <v>58</v>
      </c>
      <c r="B5" s="13"/>
      <c r="C5" s="13"/>
      <c r="D5" s="13"/>
      <c r="E5" s="13"/>
      <c r="F5" s="13"/>
      <c r="G5" s="13"/>
      <c r="H5" s="13"/>
      <c r="I5" s="13"/>
      <c r="J5" s="13"/>
      <c r="K5" s="68"/>
    </row>
    <row r="6" ht="15.6" customHeight="1">
      <c r="A6" t="s" s="72">
        <v>15</v>
      </c>
      <c r="B6" s="73"/>
      <c r="C6" s="74">
        <f>'Inputs'!B15</f>
        <v>200000</v>
      </c>
      <c r="D6" s="13"/>
      <c r="E6" s="13"/>
      <c r="F6" s="13"/>
      <c r="G6" s="13"/>
      <c r="H6" s="13"/>
      <c r="I6" s="13"/>
      <c r="J6" s="13"/>
      <c r="K6" s="68"/>
    </row>
    <row r="7" ht="16.2" customHeight="1">
      <c r="A7" t="s" s="72">
        <v>59</v>
      </c>
      <c r="B7" s="73"/>
      <c r="C7" s="75">
        <f>'Inputs'!B19</f>
        <v>150000</v>
      </c>
      <c r="D7" s="13"/>
      <c r="E7" s="13"/>
      <c r="F7" s="13"/>
      <c r="G7" s="13"/>
      <c r="H7" s="13"/>
      <c r="I7" s="13"/>
      <c r="J7" s="13"/>
      <c r="K7" s="68"/>
    </row>
    <row r="8" ht="15.6" customHeight="1">
      <c r="A8" t="s" s="72">
        <v>60</v>
      </c>
      <c r="B8" s="73"/>
      <c r="C8" s="76">
        <f>'Inputs'!B18</f>
        <v>50000</v>
      </c>
      <c r="D8" s="13"/>
      <c r="E8" s="13"/>
      <c r="F8" s="13"/>
      <c r="G8" s="13"/>
      <c r="H8" s="13"/>
      <c r="I8" s="13"/>
      <c r="J8" s="13"/>
      <c r="K8" s="68"/>
    </row>
    <row r="9" ht="15.6" customHeight="1">
      <c r="A9" t="s" s="72">
        <v>61</v>
      </c>
      <c r="B9" s="73"/>
      <c r="C9" s="74">
        <f>'Inputs'!B16+'Inputs'!B17</f>
        <v>2367</v>
      </c>
      <c r="D9" s="13"/>
      <c r="E9" s="13"/>
      <c r="F9" s="13"/>
      <c r="G9" s="13"/>
      <c r="H9" s="13"/>
      <c r="I9" s="13"/>
      <c r="J9" s="13"/>
      <c r="K9" s="68"/>
    </row>
    <row r="10" ht="16.2" customHeight="1">
      <c r="A10" t="s" s="72">
        <v>62</v>
      </c>
      <c r="B10" s="73"/>
      <c r="C10" s="75">
        <f>'Inputs'!B21</f>
        <v>200</v>
      </c>
      <c r="D10" s="13"/>
      <c r="E10" s="13"/>
      <c r="F10" s="13"/>
      <c r="G10" s="13"/>
      <c r="H10" s="13"/>
      <c r="I10" s="13"/>
      <c r="J10" s="13"/>
      <c r="K10" s="68"/>
    </row>
    <row r="11" ht="18.6" customHeight="1">
      <c r="A11" t="s" s="71">
        <v>63</v>
      </c>
      <c r="B11" s="77"/>
      <c r="C11" s="78">
        <f>'Inputs'!B22</f>
        <v>52567</v>
      </c>
      <c r="D11" s="13"/>
      <c r="E11" s="13"/>
      <c r="F11" s="13"/>
      <c r="G11" s="13"/>
      <c r="H11" s="13"/>
      <c r="I11" s="13"/>
      <c r="J11" s="13"/>
      <c r="K11" s="68"/>
    </row>
    <row r="12" ht="15" customHeight="1">
      <c r="A12" s="24"/>
      <c r="B12" s="13"/>
      <c r="C12" s="79"/>
      <c r="D12" s="13"/>
      <c r="E12" s="13"/>
      <c r="F12" s="13"/>
      <c r="G12" s="13"/>
      <c r="H12" s="13"/>
      <c r="I12" s="13"/>
      <c r="J12" s="13"/>
      <c r="K12" s="68"/>
    </row>
    <row r="13" ht="15" customHeight="1">
      <c r="A13" s="24"/>
      <c r="B13" s="13"/>
      <c r="C13" s="13"/>
      <c r="D13" s="13"/>
      <c r="E13" s="13"/>
      <c r="F13" s="13"/>
      <c r="G13" s="13"/>
      <c r="H13" s="13"/>
      <c r="I13" s="13"/>
      <c r="J13" s="13"/>
      <c r="K13" s="68"/>
    </row>
    <row r="14" ht="18" customHeight="1">
      <c r="A14" t="s" s="71">
        <v>64</v>
      </c>
      <c r="B14" s="13"/>
      <c r="C14" s="13"/>
      <c r="D14" s="13"/>
      <c r="E14" s="13"/>
      <c r="F14" s="13"/>
      <c r="G14" s="13"/>
      <c r="H14" s="13"/>
      <c r="I14" s="13"/>
      <c r="J14" s="13"/>
      <c r="K14" s="68"/>
    </row>
    <row r="15" ht="15" customHeight="1">
      <c r="A15" s="24"/>
      <c r="B15" s="13"/>
      <c r="C15" s="13"/>
      <c r="D15" s="13"/>
      <c r="E15" s="13"/>
      <c r="F15" s="13"/>
      <c r="G15" s="13"/>
      <c r="H15" s="13"/>
      <c r="I15" s="13"/>
      <c r="J15" s="13"/>
      <c r="K15" s="68"/>
    </row>
    <row r="16" ht="15.6" customHeight="1">
      <c r="A16" t="s" s="80">
        <v>65</v>
      </c>
      <c r="B16" s="73"/>
      <c r="C16" s="73"/>
      <c r="D16" s="73"/>
      <c r="E16" s="73"/>
      <c r="F16" s="73"/>
      <c r="G16" s="73"/>
      <c r="H16" s="73"/>
      <c r="I16" s="73"/>
      <c r="J16" s="13"/>
      <c r="K16" s="68"/>
    </row>
    <row r="17" ht="15.6" customHeight="1">
      <c r="A17" t="s" s="72">
        <v>66</v>
      </c>
      <c r="B17" s="73"/>
      <c r="C17" s="81">
        <f>'Inputs'!B33*12</f>
        <v>22752</v>
      </c>
      <c r="D17" s="73"/>
      <c r="E17" s="82">
        <f>'Inputs'!B33</f>
        <v>1896</v>
      </c>
      <c r="F17" t="s" s="83">
        <v>67</v>
      </c>
      <c r="G17" s="84"/>
      <c r="H17" s="84"/>
      <c r="I17" s="84"/>
      <c r="J17" s="13"/>
      <c r="K17" s="68"/>
    </row>
    <row r="18" ht="16.2" customHeight="1">
      <c r="A18" t="s" s="72">
        <v>68</v>
      </c>
      <c r="B18" s="85">
        <f>'Inputs'!B35</f>
        <v>0.05</v>
      </c>
      <c r="C18" s="86">
        <f>-C17*'Inputs'!B35</f>
        <v>-1137.6</v>
      </c>
      <c r="D18" s="73"/>
      <c r="E18" s="87"/>
      <c r="F18" s="87"/>
      <c r="G18" s="87"/>
      <c r="H18" s="87"/>
      <c r="I18" s="87"/>
      <c r="J18" s="13"/>
      <c r="K18" s="68"/>
    </row>
    <row r="19" ht="15.6" customHeight="1">
      <c r="A19" t="s" s="69">
        <v>69</v>
      </c>
      <c r="B19" s="88"/>
      <c r="C19" s="89">
        <f>SUM(C17:C18)</f>
        <v>21614.4</v>
      </c>
      <c r="D19" s="73"/>
      <c r="E19" s="73"/>
      <c r="F19" s="73"/>
      <c r="G19" s="73"/>
      <c r="H19" s="73"/>
      <c r="I19" s="73"/>
      <c r="J19" s="13"/>
      <c r="K19" s="68"/>
    </row>
    <row r="20" ht="15.6" customHeight="1">
      <c r="A20" s="90"/>
      <c r="B20" s="73"/>
      <c r="C20" s="81"/>
      <c r="D20" s="73"/>
      <c r="E20" s="73"/>
      <c r="F20" s="73"/>
      <c r="G20" s="73"/>
      <c r="H20" s="73"/>
      <c r="I20" s="73"/>
      <c r="J20" s="13"/>
      <c r="K20" s="68"/>
    </row>
    <row r="21" ht="15.6" customHeight="1">
      <c r="A21" t="s" s="80">
        <v>70</v>
      </c>
      <c r="B21" s="73"/>
      <c r="C21" s="81"/>
      <c r="D21" s="73"/>
      <c r="E21" t="s" s="91">
        <v>71</v>
      </c>
      <c r="F21" s="73"/>
      <c r="G21" s="73"/>
      <c r="H21" s="73"/>
      <c r="I21" s="73"/>
      <c r="J21" s="13"/>
      <c r="K21" s="68"/>
    </row>
    <row r="22" ht="15.6" customHeight="1">
      <c r="A22" t="s" s="72">
        <v>37</v>
      </c>
      <c r="B22" s="73"/>
      <c r="C22" s="81">
        <f>'Inputs'!B42</f>
        <v>925</v>
      </c>
      <c r="D22" s="73"/>
      <c r="E22" t="s" s="92">
        <f>'Inputs'!D42</f>
      </c>
      <c r="F22" s="93"/>
      <c r="G22" s="93"/>
      <c r="H22" s="93"/>
      <c r="I22" s="93"/>
      <c r="J22" s="93"/>
      <c r="K22" s="68"/>
    </row>
    <row r="23" ht="15.6" customHeight="1">
      <c r="A23" t="s" s="72">
        <v>38</v>
      </c>
      <c r="B23" s="73"/>
      <c r="C23" s="81">
        <f>'Inputs'!B43</f>
        <v>250</v>
      </c>
      <c r="D23" s="73"/>
      <c r="E23" t="s" s="94">
        <f>'Inputs'!D43</f>
      </c>
      <c r="F23" s="95"/>
      <c r="G23" s="95"/>
      <c r="H23" s="95"/>
      <c r="I23" s="95"/>
      <c r="J23" s="95"/>
      <c r="K23" s="68"/>
    </row>
    <row r="24" ht="15.6" customHeight="1">
      <c r="A24" t="s" s="72">
        <v>39</v>
      </c>
      <c r="B24" s="73"/>
      <c r="C24" s="81">
        <f>'Inputs'!B44</f>
        <v>1800</v>
      </c>
      <c r="D24" s="73"/>
      <c r="E24" t="s" s="94">
        <f>'Inputs'!D44</f>
        <v>72</v>
      </c>
      <c r="F24" s="95"/>
      <c r="G24" s="95"/>
      <c r="H24" s="95"/>
      <c r="I24" s="95"/>
      <c r="J24" s="95"/>
      <c r="K24" s="68"/>
    </row>
    <row r="25" ht="15.6" customHeight="1">
      <c r="A25" t="s" s="72">
        <v>41</v>
      </c>
      <c r="B25" s="73"/>
      <c r="C25" s="81">
        <f>'Inputs'!B45</f>
        <v>1137.6</v>
      </c>
      <c r="D25" s="73"/>
      <c r="E25" t="s" s="94">
        <f>'Inputs'!D45</f>
        <v>73</v>
      </c>
      <c r="F25" s="95"/>
      <c r="G25" s="95"/>
      <c r="H25" s="95"/>
      <c r="I25" s="95"/>
      <c r="J25" s="95"/>
      <c r="K25" s="68"/>
    </row>
    <row r="26" ht="15.6" customHeight="1">
      <c r="A26" t="s" s="72">
        <v>43</v>
      </c>
      <c r="B26" s="73"/>
      <c r="C26" s="81">
        <f>'Inputs'!B46</f>
        <v>0</v>
      </c>
      <c r="D26" s="73"/>
      <c r="E26" t="s" s="94">
        <f>'Inputs'!D46</f>
      </c>
      <c r="F26" s="95"/>
      <c r="G26" s="95"/>
      <c r="H26" s="95"/>
      <c r="I26" s="95"/>
      <c r="J26" s="95"/>
      <c r="K26" s="68"/>
    </row>
    <row r="27" ht="15.6" customHeight="1">
      <c r="A27" t="s" s="72">
        <v>74</v>
      </c>
      <c r="B27" s="73"/>
      <c r="C27" s="81">
        <f>'Inputs'!B47</f>
        <v>0</v>
      </c>
      <c r="D27" s="73"/>
      <c r="E27" t="s" s="94">
        <f>'Inputs'!D47</f>
      </c>
      <c r="F27" s="95"/>
      <c r="G27" s="95"/>
      <c r="H27" s="95"/>
      <c r="I27" s="95"/>
      <c r="J27" s="95"/>
      <c r="K27" s="68"/>
    </row>
    <row r="28" ht="15.6" customHeight="1">
      <c r="A28" t="s" s="72">
        <v>75</v>
      </c>
      <c r="B28" s="73"/>
      <c r="C28" s="81">
        <f>'Inputs'!B48</f>
        <v>0</v>
      </c>
      <c r="D28" s="73"/>
      <c r="E28" t="s" s="94">
        <f>'Inputs'!D48</f>
      </c>
      <c r="F28" s="95"/>
      <c r="G28" s="95"/>
      <c r="H28" s="95"/>
      <c r="I28" s="95"/>
      <c r="J28" s="95"/>
      <c r="K28" s="68"/>
    </row>
    <row r="29" ht="15.6" customHeight="1">
      <c r="A29" t="s" s="72">
        <v>76</v>
      </c>
      <c r="B29" s="73"/>
      <c r="C29" s="81">
        <f>'Inputs'!B49</f>
        <v>0</v>
      </c>
      <c r="D29" s="73"/>
      <c r="E29" t="s" s="94">
        <f>'Inputs'!D49</f>
      </c>
      <c r="F29" s="95"/>
      <c r="G29" s="95"/>
      <c r="H29" s="95"/>
      <c r="I29" s="95"/>
      <c r="J29" s="95"/>
      <c r="K29" s="68"/>
    </row>
    <row r="30" ht="15.6" customHeight="1">
      <c r="A30" t="s" s="72">
        <v>47</v>
      </c>
      <c r="B30" s="73"/>
      <c r="C30" s="81">
        <f>'Inputs'!B50</f>
        <v>0</v>
      </c>
      <c r="D30" s="73"/>
      <c r="E30" t="s" s="94">
        <f>'Inputs'!D50</f>
      </c>
      <c r="F30" s="95"/>
      <c r="G30" s="95"/>
      <c r="H30" s="95"/>
      <c r="I30" s="95"/>
      <c r="J30" s="95"/>
      <c r="K30" s="68"/>
    </row>
    <row r="31" ht="15.6" customHeight="1">
      <c r="A31" t="s" s="72">
        <f>'Inputs'!A51</f>
        <v>48</v>
      </c>
      <c r="B31" s="73"/>
      <c r="C31" s="81">
        <f>'Inputs'!B51</f>
        <v>2400</v>
      </c>
      <c r="D31" s="73"/>
      <c r="E31" t="s" s="94">
        <f>'Inputs'!D51</f>
      </c>
      <c r="F31" s="95"/>
      <c r="G31" s="95"/>
      <c r="H31" s="95"/>
      <c r="I31" s="95"/>
      <c r="J31" s="95"/>
      <c r="K31" s="68"/>
    </row>
    <row r="32" ht="15.6" customHeight="1">
      <c r="A32" t="s" s="72">
        <f>'Inputs'!A52</f>
        <v>49</v>
      </c>
      <c r="B32" s="73"/>
      <c r="C32" s="81">
        <f>'Inputs'!B52</f>
        <v>0</v>
      </c>
      <c r="D32" s="73"/>
      <c r="E32" t="s" s="94">
        <f>'Inputs'!D52</f>
      </c>
      <c r="F32" s="95"/>
      <c r="G32" s="95"/>
      <c r="H32" s="95"/>
      <c r="I32" s="95"/>
      <c r="J32" s="95"/>
      <c r="K32" s="68"/>
    </row>
    <row r="33" ht="15.6" customHeight="1">
      <c r="A33" t="s" s="72">
        <f>'Inputs'!A53</f>
        <v>49</v>
      </c>
      <c r="B33" s="73"/>
      <c r="C33" s="81">
        <f>'Inputs'!B53</f>
        <v>0</v>
      </c>
      <c r="D33" s="73"/>
      <c r="E33" t="s" s="94">
        <f>'Inputs'!D53</f>
      </c>
      <c r="F33" s="95"/>
      <c r="G33" s="95"/>
      <c r="H33" s="95"/>
      <c r="I33" s="95"/>
      <c r="J33" s="95"/>
      <c r="K33" s="68"/>
    </row>
    <row r="34" ht="15.6" customHeight="1">
      <c r="A34" t="s" s="72">
        <f>'Inputs'!A54</f>
        <v>49</v>
      </c>
      <c r="B34" s="73"/>
      <c r="C34" s="81">
        <f>'Inputs'!B54</f>
        <v>0</v>
      </c>
      <c r="D34" s="73"/>
      <c r="E34" t="s" s="94">
        <f>'Inputs'!D54</f>
      </c>
      <c r="F34" s="95"/>
      <c r="G34" s="95"/>
      <c r="H34" s="95"/>
      <c r="I34" s="95"/>
      <c r="J34" s="95"/>
      <c r="K34" s="68"/>
    </row>
    <row r="35" ht="15.6" customHeight="1">
      <c r="A35" t="s" s="72">
        <f>'Inputs'!A55</f>
        <v>49</v>
      </c>
      <c r="B35" s="73"/>
      <c r="C35" s="81">
        <f>'Inputs'!B55</f>
        <v>0</v>
      </c>
      <c r="D35" s="73"/>
      <c r="E35" t="s" s="94">
        <f>'Inputs'!D55</f>
      </c>
      <c r="F35" s="95"/>
      <c r="G35" s="95"/>
      <c r="H35" s="95"/>
      <c r="I35" s="95"/>
      <c r="J35" s="95"/>
      <c r="K35" s="68"/>
    </row>
    <row r="36" ht="16.2" customHeight="1">
      <c r="A36" t="s" s="72">
        <f>'Inputs'!A56</f>
        <v>49</v>
      </c>
      <c r="B36" s="73"/>
      <c r="C36" s="86">
        <f>'Inputs'!B56</f>
        <v>0</v>
      </c>
      <c r="D36" s="73"/>
      <c r="E36" t="s" s="94">
        <f>'Inputs'!D56</f>
      </c>
      <c r="F36" s="95"/>
      <c r="G36" s="95"/>
      <c r="H36" s="95"/>
      <c r="I36" s="95"/>
      <c r="J36" s="95"/>
      <c r="K36" s="68"/>
    </row>
    <row r="37" ht="15.6" customHeight="1">
      <c r="A37" t="s" s="69">
        <v>77</v>
      </c>
      <c r="B37" s="73"/>
      <c r="C37" s="89">
        <f>SUM(C22:C36)</f>
        <v>6512.6</v>
      </c>
      <c r="D37" s="73"/>
      <c r="E37" s="87"/>
      <c r="F37" s="87"/>
      <c r="G37" s="87"/>
      <c r="H37" s="87"/>
      <c r="I37" s="87"/>
      <c r="J37" s="79"/>
      <c r="K37" s="68"/>
    </row>
    <row r="38" ht="15.6" customHeight="1">
      <c r="A38" s="90"/>
      <c r="B38" s="73"/>
      <c r="C38" s="81"/>
      <c r="D38" s="73"/>
      <c r="E38" s="73"/>
      <c r="F38" s="73"/>
      <c r="G38" s="73"/>
      <c r="H38" s="73"/>
      <c r="I38" s="73"/>
      <c r="J38" s="13"/>
      <c r="K38" s="68"/>
    </row>
    <row r="39" ht="15.6" customHeight="1">
      <c r="A39" t="s" s="69">
        <v>78</v>
      </c>
      <c r="B39" s="73"/>
      <c r="C39" s="96">
        <f>C19-C37</f>
        <v>15101.8</v>
      </c>
      <c r="D39" s="73"/>
      <c r="E39" s="73"/>
      <c r="F39" s="73"/>
      <c r="G39" s="73"/>
      <c r="H39" s="73"/>
      <c r="I39" s="73"/>
      <c r="J39" s="13"/>
      <c r="K39" s="68"/>
    </row>
    <row r="40" ht="15" customHeight="1">
      <c r="A40" s="24"/>
      <c r="B40" s="13"/>
      <c r="C40" s="13"/>
      <c r="D40" s="13"/>
      <c r="E40" s="13"/>
      <c r="F40" s="13"/>
      <c r="G40" s="13"/>
      <c r="H40" s="13"/>
      <c r="I40" s="13"/>
      <c r="J40" s="13"/>
      <c r="K40" s="68"/>
    </row>
    <row r="41" ht="15.6" customHeight="1">
      <c r="A41" t="s" s="72">
        <v>79</v>
      </c>
      <c r="B41" s="13"/>
      <c r="C41" s="74">
        <f>PMT('Inputs'!B24/12,'Inputs'!B25*12,'Inputs'!B19,0)*12</f>
        <v>-9254.511287566987</v>
      </c>
      <c r="D41" s="13"/>
      <c r="E41" s="97">
        <f>'Inputs'!B19</f>
        <v>150000</v>
      </c>
      <c r="F41" t="s" s="98">
        <v>80</v>
      </c>
      <c r="G41" s="99">
        <f>'Inputs'!B24</f>
        <v>0.04625</v>
      </c>
      <c r="H41" t="s" s="98">
        <v>81</v>
      </c>
      <c r="I41" s="100">
        <f>-C41/12</f>
        <v>771.2092739639156</v>
      </c>
      <c r="J41" t="s" s="101">
        <v>82</v>
      </c>
      <c r="K41" s="102"/>
    </row>
    <row r="42" ht="15" customHeight="1">
      <c r="A42" s="24"/>
      <c r="B42" s="13"/>
      <c r="C42" s="103"/>
      <c r="D42" s="13"/>
      <c r="E42" s="79"/>
      <c r="F42" s="79"/>
      <c r="G42" s="79"/>
      <c r="H42" s="79"/>
      <c r="I42" s="79"/>
      <c r="J42" s="79"/>
      <c r="K42" s="104"/>
    </row>
    <row r="43" ht="18.6" customHeight="1">
      <c r="A43" t="s" s="71">
        <v>83</v>
      </c>
      <c r="B43" s="105"/>
      <c r="C43" s="78">
        <f>C39+C41</f>
        <v>5847.288712433014</v>
      </c>
      <c r="D43" s="13"/>
      <c r="E43" s="13"/>
      <c r="F43" s="13"/>
      <c r="G43" s="13"/>
      <c r="H43" s="13"/>
      <c r="I43" s="13"/>
      <c r="J43" s="13"/>
      <c r="K43" s="68"/>
    </row>
    <row r="44" ht="15" customHeight="1">
      <c r="A44" s="24"/>
      <c r="B44" s="13"/>
      <c r="C44" s="79"/>
      <c r="D44" s="13"/>
      <c r="E44" s="13"/>
      <c r="F44" s="13"/>
      <c r="G44" s="13"/>
      <c r="H44" s="13"/>
      <c r="I44" s="13"/>
      <c r="J44" s="13"/>
      <c r="K44" s="68"/>
    </row>
    <row r="45" ht="18.6" customHeight="1">
      <c r="A45" t="s" s="106">
        <v>84</v>
      </c>
      <c r="B45" s="8"/>
      <c r="C45" s="107">
        <f>C43/C11</f>
        <v>0.1112349708454546</v>
      </c>
      <c r="D45" s="13"/>
      <c r="E45" s="97">
        <f>C43</f>
        <v>5847.288712433014</v>
      </c>
      <c r="F45" t="s" s="98">
        <v>85</v>
      </c>
      <c r="G45" s="97">
        <f>C11</f>
        <v>52567</v>
      </c>
      <c r="H45" t="s" s="101">
        <v>81</v>
      </c>
      <c r="I45" s="108">
        <f>C45</f>
        <v>0.1112349708454546</v>
      </c>
      <c r="J45" s="13"/>
      <c r="K45" s="68"/>
    </row>
    <row r="46" ht="15" customHeight="1">
      <c r="A46" s="24"/>
      <c r="B46" s="13"/>
      <c r="C46" s="79"/>
      <c r="D46" s="13"/>
      <c r="E46" s="79"/>
      <c r="F46" s="79"/>
      <c r="G46" s="79"/>
      <c r="H46" s="79"/>
      <c r="I46" s="79"/>
      <c r="J46" s="13"/>
      <c r="K46" s="68"/>
    </row>
    <row r="47" ht="18.6" customHeight="1">
      <c r="A47" t="s" s="71">
        <v>86</v>
      </c>
      <c r="B47" s="13"/>
      <c r="C47" s="109">
        <f>C39/(C6+C10)</f>
        <v>0.07543356643356644</v>
      </c>
      <c r="D47" s="13"/>
      <c r="E47" s="97">
        <f>C39</f>
        <v>15101.8</v>
      </c>
      <c r="F47" t="s" s="98">
        <v>85</v>
      </c>
      <c r="G47" s="97">
        <f>C6+C10</f>
        <v>200200</v>
      </c>
      <c r="H47" t="s" s="98">
        <v>81</v>
      </c>
      <c r="I47" s="110">
        <f>C47</f>
        <v>0.07543356643356644</v>
      </c>
      <c r="J47" s="13"/>
      <c r="K47" s="68"/>
    </row>
    <row r="48" ht="18.6" customHeight="1">
      <c r="A48" s="111"/>
      <c r="B48" s="13"/>
      <c r="C48" s="112"/>
      <c r="D48" s="13"/>
      <c r="E48" s="113"/>
      <c r="F48" s="114"/>
      <c r="G48" s="113"/>
      <c r="H48" s="114"/>
      <c r="I48" s="115"/>
      <c r="J48" s="13"/>
      <c r="K48" s="68"/>
    </row>
    <row r="49" ht="18.6" customHeight="1">
      <c r="A49" t="s" s="71">
        <v>87</v>
      </c>
      <c r="B49" s="13"/>
      <c r="C49" s="116">
        <f>I49</f>
        <v>105.5907172995781</v>
      </c>
      <c r="D49" s="13"/>
      <c r="E49" s="97">
        <f>C6+C10</f>
        <v>200200</v>
      </c>
      <c r="F49" t="s" s="98">
        <v>85</v>
      </c>
      <c r="G49" s="97">
        <f>E17</f>
        <v>1896</v>
      </c>
      <c r="H49" t="s" s="98">
        <v>81</v>
      </c>
      <c r="I49" s="117">
        <f>E49/G49</f>
        <v>105.5907172995781</v>
      </c>
      <c r="J49" s="13"/>
      <c r="K49" s="68"/>
    </row>
    <row r="50" ht="15" customHeight="1">
      <c r="A50" s="24"/>
      <c r="B50" s="13"/>
      <c r="C50" s="79"/>
      <c r="D50" s="13"/>
      <c r="E50" s="79"/>
      <c r="F50" s="79"/>
      <c r="G50" s="79"/>
      <c r="H50" s="79"/>
      <c r="I50" s="79"/>
      <c r="J50" s="13"/>
      <c r="K50" s="68"/>
    </row>
    <row r="51" ht="18.6" customHeight="1">
      <c r="A51" t="s" s="71">
        <v>88</v>
      </c>
      <c r="B51" s="13"/>
      <c r="C51" s="109">
        <f>'15 Year Analysis'!M56</f>
        <v>0.2185777790672851</v>
      </c>
      <c r="D51" s="13"/>
      <c r="E51" t="s" s="98">
        <v>89</v>
      </c>
      <c r="F51" s="97"/>
      <c r="G51" s="97"/>
      <c r="H51" s="97"/>
      <c r="I51" s="97"/>
      <c r="J51" s="97"/>
      <c r="K51" s="118"/>
    </row>
    <row r="52" ht="15" customHeight="1">
      <c r="A52" t="s" s="119">
        <f>'Inputs'!A67</f>
        <v>90</v>
      </c>
      <c r="B52" s="120"/>
      <c r="C52" s="121"/>
      <c r="D52" s="120"/>
      <c r="E52" s="121"/>
      <c r="F52" s="121"/>
      <c r="G52" s="121"/>
      <c r="H52" s="121"/>
      <c r="I52" s="121"/>
      <c r="J52" s="121"/>
      <c r="K52" s="122"/>
    </row>
    <row r="53" ht="8" customHeight="1">
      <c r="A53" s="123"/>
      <c r="B53" s="120"/>
      <c r="C53" s="120"/>
      <c r="D53" s="120"/>
      <c r="E53" s="120"/>
      <c r="F53" s="120"/>
      <c r="G53" s="120"/>
      <c r="H53" s="120"/>
      <c r="I53" s="120"/>
      <c r="J53" s="120"/>
      <c r="K53" s="124"/>
    </row>
    <row r="54" ht="8" customHeight="1">
      <c r="A54" s="123"/>
      <c r="B54" s="120"/>
      <c r="C54" s="120"/>
      <c r="D54" s="120"/>
      <c r="E54" s="120"/>
      <c r="F54" s="120"/>
      <c r="G54" s="120"/>
      <c r="H54" s="120"/>
      <c r="I54" s="120"/>
      <c r="J54" s="120"/>
      <c r="K54" s="124"/>
    </row>
    <row r="55" ht="11.5" customHeight="1">
      <c r="A55" s="125"/>
      <c r="B55" s="126"/>
      <c r="C55" s="126"/>
      <c r="D55" s="126"/>
      <c r="E55" s="126"/>
      <c r="F55" s="126"/>
      <c r="G55" s="126"/>
      <c r="H55" s="126"/>
      <c r="I55" s="126"/>
      <c r="J55" s="126"/>
      <c r="K55" s="127"/>
    </row>
  </sheetData>
  <mergeCells count="17">
    <mergeCell ref="E31:J31"/>
    <mergeCell ref="E30:J30"/>
    <mergeCell ref="E29:J29"/>
    <mergeCell ref="E27:J27"/>
    <mergeCell ref="E33:J33"/>
    <mergeCell ref="E32:J32"/>
    <mergeCell ref="E26:J26"/>
    <mergeCell ref="E22:J22"/>
    <mergeCell ref="E24:J24"/>
    <mergeCell ref="E35:J35"/>
    <mergeCell ref="E25:J25"/>
    <mergeCell ref="E36:J36"/>
    <mergeCell ref="A52:K55"/>
    <mergeCell ref="E28:J28"/>
    <mergeCell ref="E51:K51"/>
    <mergeCell ref="E23:J23"/>
    <mergeCell ref="E34:J34"/>
  </mergeCells>
  <pageMargins left="0.7" right="0.7" top="0.75" bottom="0.75" header="0.3" footer="0.3"/>
  <pageSetup firstPageNumber="1" fitToHeight="1" fitToWidth="1" scale="8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AG65"/>
  <sheetViews>
    <sheetView workbookViewId="0" showGridLines="0" defaultGridColor="1"/>
  </sheetViews>
  <sheetFormatPr defaultColWidth="9.16667" defaultRowHeight="14.4" customHeight="1" outlineLevelRow="0" outlineLevelCol="0"/>
  <cols>
    <col min="1" max="1" width="18" style="128" customWidth="1"/>
    <col min="2" max="2" width="19.8516" style="128" customWidth="1"/>
    <col min="3" max="3" width="16.1719" style="128" customWidth="1"/>
    <col min="4" max="4" width="6" style="128" customWidth="1"/>
    <col min="5" max="5" width="12.8516" style="128" customWidth="1"/>
    <col min="6" max="6" width="6" style="128" customWidth="1"/>
    <col min="7" max="7" width="13.5" style="128" customWidth="1"/>
    <col min="8" max="8" width="6" style="128" customWidth="1"/>
    <col min="9" max="9" width="13.6719" style="128" customWidth="1"/>
    <col min="10" max="10" width="6" style="128" customWidth="1"/>
    <col min="11" max="11" width="15.6719" style="128" customWidth="1"/>
    <col min="12" max="12" width="6" style="128" customWidth="1"/>
    <col min="13" max="13" width="15.6719" style="128" customWidth="1"/>
    <col min="14" max="14" width="6" style="128" customWidth="1"/>
    <col min="15" max="15" width="15.6719" style="128" customWidth="1"/>
    <col min="16" max="16" width="6" style="128" customWidth="1"/>
    <col min="17" max="17" width="15.6719" style="128" customWidth="1"/>
    <col min="18" max="18" width="6" style="128" customWidth="1"/>
    <col min="19" max="19" width="15.6719" style="128" customWidth="1"/>
    <col min="20" max="20" width="6" style="128" customWidth="1"/>
    <col min="21" max="21" width="15.6719" style="128" customWidth="1"/>
    <col min="22" max="22" width="6" style="128" customWidth="1"/>
    <col min="23" max="23" width="15.6719" style="128" customWidth="1"/>
    <col min="24" max="24" width="6" style="128" customWidth="1"/>
    <col min="25" max="25" width="15.6719" style="128" customWidth="1"/>
    <col min="26" max="26" width="6" style="128" customWidth="1"/>
    <col min="27" max="27" width="15.6719" style="128" customWidth="1"/>
    <col min="28" max="28" width="6" style="128" customWidth="1"/>
    <col min="29" max="29" width="15.6719" style="128" customWidth="1"/>
    <col min="30" max="30" width="6" style="128" customWidth="1"/>
    <col min="31" max="31" width="15.6719" style="128" customWidth="1"/>
    <col min="32" max="32" width="6" style="128" customWidth="1"/>
    <col min="33" max="33" width="15.6719" style="128" customWidth="1"/>
    <col min="34" max="256" width="9.17188" style="128" customWidth="1"/>
  </cols>
  <sheetData>
    <row r="1" ht="18" customHeight="1">
      <c r="A1" t="s" s="64">
        <v>55</v>
      </c>
      <c r="B1" s="65"/>
      <c r="C1" t="s" s="66">
        <f>'Inputs'!B10</f>
        <v>56</v>
      </c>
      <c r="D1" s="65"/>
      <c r="E1" t="s" s="66">
        <v>58</v>
      </c>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7"/>
    </row>
    <row r="2" ht="15.6" customHeight="1">
      <c r="A2" s="24"/>
      <c r="B2" s="13"/>
      <c r="C2" s="13"/>
      <c r="D2" s="13"/>
      <c r="E2" t="s" s="91">
        <v>15</v>
      </c>
      <c r="F2" s="13"/>
      <c r="G2" s="73"/>
      <c r="H2" s="13"/>
      <c r="I2" s="74">
        <f>'Inputs'!B15</f>
        <v>200000</v>
      </c>
      <c r="J2" s="13"/>
      <c r="K2" s="13"/>
      <c r="L2" s="13"/>
      <c r="M2" s="13"/>
      <c r="N2" s="13"/>
      <c r="O2" s="13"/>
      <c r="P2" s="13"/>
      <c r="Q2" s="13"/>
      <c r="R2" s="13"/>
      <c r="S2" s="13"/>
      <c r="T2" s="13"/>
      <c r="U2" s="13"/>
      <c r="V2" s="13"/>
      <c r="W2" s="13"/>
      <c r="X2" s="13"/>
      <c r="Y2" s="13"/>
      <c r="Z2" s="13"/>
      <c r="AA2" s="13"/>
      <c r="AB2" s="13"/>
      <c r="AC2" s="13"/>
      <c r="AD2" s="13"/>
      <c r="AE2" s="13"/>
      <c r="AF2" s="13"/>
      <c r="AG2" s="68"/>
    </row>
    <row r="3" ht="16.2" customHeight="1">
      <c r="A3" t="s" s="69">
        <v>57</v>
      </c>
      <c r="B3" s="13"/>
      <c r="C3" s="70">
        <f>'Inputs'!B11</f>
        <v>1</v>
      </c>
      <c r="D3" s="13"/>
      <c r="E3" t="s" s="91">
        <v>59</v>
      </c>
      <c r="F3" s="13"/>
      <c r="G3" s="73"/>
      <c r="H3" s="13"/>
      <c r="I3" s="75">
        <f>'Inputs'!B19</f>
        <v>150000</v>
      </c>
      <c r="J3" s="13"/>
      <c r="K3" s="13"/>
      <c r="L3" s="13"/>
      <c r="M3" s="13"/>
      <c r="N3" s="13"/>
      <c r="O3" s="13"/>
      <c r="P3" s="13"/>
      <c r="Q3" s="13"/>
      <c r="R3" s="13"/>
      <c r="S3" s="13"/>
      <c r="T3" s="13"/>
      <c r="U3" s="13"/>
      <c r="V3" s="13"/>
      <c r="W3" s="13"/>
      <c r="X3" s="13"/>
      <c r="Y3" s="13"/>
      <c r="Z3" s="13"/>
      <c r="AA3" s="13"/>
      <c r="AB3" s="13"/>
      <c r="AC3" s="13"/>
      <c r="AD3" s="13"/>
      <c r="AE3" s="13"/>
      <c r="AF3" s="13"/>
      <c r="AG3" s="68"/>
    </row>
    <row r="4" ht="15.6" customHeight="1">
      <c r="A4" s="24"/>
      <c r="B4" s="13"/>
      <c r="C4" s="13"/>
      <c r="D4" s="13"/>
      <c r="E4" t="s" s="91">
        <v>60</v>
      </c>
      <c r="F4" s="13"/>
      <c r="G4" s="73"/>
      <c r="H4" s="13"/>
      <c r="I4" s="76">
        <f>'Inputs'!B18</f>
        <v>50000</v>
      </c>
      <c r="J4" s="13"/>
      <c r="K4" s="13"/>
      <c r="L4" s="13"/>
      <c r="M4" s="13"/>
      <c r="N4" s="13"/>
      <c r="O4" s="13"/>
      <c r="P4" s="13"/>
      <c r="Q4" s="13"/>
      <c r="R4" s="13"/>
      <c r="S4" s="13"/>
      <c r="T4" s="13"/>
      <c r="U4" s="13"/>
      <c r="V4" s="13"/>
      <c r="W4" s="13"/>
      <c r="X4" s="13"/>
      <c r="Y4" s="13"/>
      <c r="Z4" s="13"/>
      <c r="AA4" s="13"/>
      <c r="AB4" s="13"/>
      <c r="AC4" s="13"/>
      <c r="AD4" s="13"/>
      <c r="AE4" s="13"/>
      <c r="AF4" s="13"/>
      <c r="AG4" s="68"/>
    </row>
    <row r="5" ht="15.6" customHeight="1">
      <c r="A5" s="24"/>
      <c r="B5" s="13"/>
      <c r="C5" s="13"/>
      <c r="D5" s="13"/>
      <c r="E5" t="s" s="91">
        <v>61</v>
      </c>
      <c r="F5" s="13"/>
      <c r="G5" s="73"/>
      <c r="H5" s="13"/>
      <c r="I5" s="74">
        <f>'Inputs'!B16+'Inputs'!B17</f>
        <v>2367</v>
      </c>
      <c r="J5" s="13"/>
      <c r="K5" s="13"/>
      <c r="L5" s="13"/>
      <c r="M5" s="13"/>
      <c r="N5" s="13"/>
      <c r="O5" s="13"/>
      <c r="P5" s="13"/>
      <c r="Q5" s="13"/>
      <c r="R5" s="13"/>
      <c r="S5" s="13"/>
      <c r="T5" s="13"/>
      <c r="U5" s="13"/>
      <c r="V5" s="13"/>
      <c r="W5" s="13"/>
      <c r="X5" s="13"/>
      <c r="Y5" s="13"/>
      <c r="Z5" s="13"/>
      <c r="AA5" s="13"/>
      <c r="AB5" s="13"/>
      <c r="AC5" s="13"/>
      <c r="AD5" s="13"/>
      <c r="AE5" s="13"/>
      <c r="AF5" s="13"/>
      <c r="AG5" s="68"/>
    </row>
    <row r="6" ht="16.2" customHeight="1">
      <c r="A6" s="24"/>
      <c r="B6" s="13"/>
      <c r="C6" s="13"/>
      <c r="D6" s="13"/>
      <c r="E6" t="s" s="91">
        <v>62</v>
      </c>
      <c r="F6" s="13"/>
      <c r="G6" s="73"/>
      <c r="H6" s="13"/>
      <c r="I6" s="75">
        <f>'Inputs'!B21</f>
        <v>200</v>
      </c>
      <c r="J6" s="13"/>
      <c r="K6" s="13"/>
      <c r="L6" s="13"/>
      <c r="M6" s="13"/>
      <c r="N6" s="13"/>
      <c r="O6" s="13"/>
      <c r="P6" s="13"/>
      <c r="Q6" s="13"/>
      <c r="R6" s="13"/>
      <c r="S6" s="13"/>
      <c r="T6" s="13"/>
      <c r="U6" s="13"/>
      <c r="V6" s="13"/>
      <c r="W6" s="13"/>
      <c r="X6" s="13"/>
      <c r="Y6" s="13"/>
      <c r="Z6" s="13"/>
      <c r="AA6" s="13"/>
      <c r="AB6" s="13"/>
      <c r="AC6" s="13"/>
      <c r="AD6" s="13"/>
      <c r="AE6" s="13"/>
      <c r="AF6" s="13"/>
      <c r="AG6" s="68"/>
    </row>
    <row r="7" ht="18.6" customHeight="1">
      <c r="A7" s="24"/>
      <c r="B7" s="13"/>
      <c r="C7" s="13"/>
      <c r="D7" s="13"/>
      <c r="E7" t="s" s="129">
        <v>63</v>
      </c>
      <c r="F7" s="13"/>
      <c r="G7" s="77"/>
      <c r="H7" s="13"/>
      <c r="I7" s="78">
        <f>'Inputs'!B22</f>
        <v>52567</v>
      </c>
      <c r="J7" s="13"/>
      <c r="K7" s="13"/>
      <c r="L7" s="13"/>
      <c r="M7" s="13"/>
      <c r="N7" s="13"/>
      <c r="O7" s="13"/>
      <c r="P7" s="13"/>
      <c r="Q7" s="13"/>
      <c r="R7" s="13"/>
      <c r="S7" s="13"/>
      <c r="T7" s="13"/>
      <c r="U7" s="13"/>
      <c r="V7" s="13"/>
      <c r="W7" s="13"/>
      <c r="X7" s="13"/>
      <c r="Y7" s="13"/>
      <c r="Z7" s="13"/>
      <c r="AA7" s="13"/>
      <c r="AB7" s="13"/>
      <c r="AC7" s="13"/>
      <c r="AD7" s="13"/>
      <c r="AE7" s="13"/>
      <c r="AF7" s="13"/>
      <c r="AG7" s="68"/>
    </row>
    <row r="8" ht="18.6" customHeight="1">
      <c r="A8" t="s" s="71">
        <v>64</v>
      </c>
      <c r="B8" s="13"/>
      <c r="C8" s="13"/>
      <c r="D8" s="13"/>
      <c r="E8" s="13"/>
      <c r="F8" s="13"/>
      <c r="G8" s="13"/>
      <c r="H8" s="13"/>
      <c r="I8" s="79"/>
      <c r="J8" s="13"/>
      <c r="K8" s="13"/>
      <c r="L8" s="13"/>
      <c r="M8" s="13"/>
      <c r="N8" s="13"/>
      <c r="O8" s="13"/>
      <c r="P8" s="13"/>
      <c r="Q8" s="13"/>
      <c r="R8" s="13"/>
      <c r="S8" s="13"/>
      <c r="T8" s="13"/>
      <c r="U8" s="13"/>
      <c r="V8" s="13"/>
      <c r="W8" s="13"/>
      <c r="X8" s="13"/>
      <c r="Y8" s="13"/>
      <c r="Z8" s="13"/>
      <c r="AA8" s="13"/>
      <c r="AB8" s="13"/>
      <c r="AC8" s="13"/>
      <c r="AD8" s="13"/>
      <c r="AE8" s="13"/>
      <c r="AF8" s="13"/>
      <c r="AG8" s="68"/>
    </row>
    <row r="9" ht="15" customHeight="1">
      <c r="A9" s="2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68"/>
    </row>
    <row r="10" ht="15.6" customHeight="1">
      <c r="A10" t="s" s="80">
        <v>65</v>
      </c>
      <c r="B10" s="73"/>
      <c r="C10" t="s" s="91">
        <v>91</v>
      </c>
      <c r="D10" s="73"/>
      <c r="E10" t="s" s="130">
        <v>92</v>
      </c>
      <c r="F10" s="13"/>
      <c r="G10" t="s" s="130">
        <v>93</v>
      </c>
      <c r="H10" s="13"/>
      <c r="I10" t="s" s="130">
        <v>94</v>
      </c>
      <c r="J10" s="13"/>
      <c r="K10" t="s" s="130">
        <v>95</v>
      </c>
      <c r="L10" s="13"/>
      <c r="M10" t="s" s="130">
        <v>96</v>
      </c>
      <c r="N10" s="13"/>
      <c r="O10" t="s" s="130">
        <v>97</v>
      </c>
      <c r="P10" s="13"/>
      <c r="Q10" t="s" s="130">
        <v>98</v>
      </c>
      <c r="R10" s="13"/>
      <c r="S10" t="s" s="130">
        <v>99</v>
      </c>
      <c r="T10" s="13"/>
      <c r="U10" t="s" s="130">
        <v>100</v>
      </c>
      <c r="V10" s="13"/>
      <c r="W10" t="s" s="130">
        <v>101</v>
      </c>
      <c r="X10" s="13"/>
      <c r="Y10" t="s" s="130">
        <v>102</v>
      </c>
      <c r="Z10" s="13"/>
      <c r="AA10" t="s" s="130">
        <v>103</v>
      </c>
      <c r="AB10" s="13"/>
      <c r="AC10" t="s" s="130">
        <v>104</v>
      </c>
      <c r="AD10" s="13"/>
      <c r="AE10" t="s" s="130">
        <v>105</v>
      </c>
      <c r="AF10" s="13"/>
      <c r="AG10" t="s" s="131">
        <v>106</v>
      </c>
    </row>
    <row r="11" ht="15.6" customHeight="1">
      <c r="A11" t="s" s="72">
        <v>66</v>
      </c>
      <c r="B11" s="73"/>
      <c r="C11" s="81">
        <f>'Inputs'!B33*12</f>
        <v>22752</v>
      </c>
      <c r="D11" s="81"/>
      <c r="E11" s="132">
        <f>C11*(1+'Inputs'!$B$37)</f>
        <v>23889.6</v>
      </c>
      <c r="F11" s="132"/>
      <c r="G11" s="132">
        <f>E11*(1+'Inputs'!$B$37)</f>
        <v>25084.08</v>
      </c>
      <c r="H11" s="132"/>
      <c r="I11" s="132">
        <f>G11*(1+'Inputs'!$B$37)</f>
        <v>26338.284</v>
      </c>
      <c r="J11" s="132"/>
      <c r="K11" s="132">
        <f>I11*(1+'Inputs'!$B$37)</f>
        <v>27655.198200000006</v>
      </c>
      <c r="L11" s="132"/>
      <c r="M11" s="132">
        <f>K11*(1+'Inputs'!$B$37)</f>
        <v>29037.958110000007</v>
      </c>
      <c r="N11" s="132"/>
      <c r="O11" s="132">
        <f>M11*(1+'Inputs'!$B$37)</f>
        <v>30489.856015500009</v>
      </c>
      <c r="P11" s="13"/>
      <c r="Q11" s="132">
        <f>O11*(1+'Inputs'!$B$37)</f>
        <v>32014.348816275011</v>
      </c>
      <c r="R11" s="13"/>
      <c r="S11" s="132">
        <f>Q11*(1+'Inputs'!$B$37)</f>
        <v>33615.066257088765</v>
      </c>
      <c r="T11" s="13"/>
      <c r="U11" s="132">
        <f>S11*(1+'Inputs'!$B$37)</f>
        <v>35295.8195699432</v>
      </c>
      <c r="V11" s="13"/>
      <c r="W11" s="132">
        <f>U11*(1+'Inputs'!$B$37)</f>
        <v>37060.610548440367</v>
      </c>
      <c r="X11" s="13"/>
      <c r="Y11" s="132">
        <f>W11*(1+'Inputs'!$B$37)</f>
        <v>38913.641075862390</v>
      </c>
      <c r="Z11" s="13"/>
      <c r="AA11" s="132">
        <f>Y11*(1+'Inputs'!$B$37)</f>
        <v>40859.323129655510</v>
      </c>
      <c r="AB11" s="13"/>
      <c r="AC11" s="132">
        <f>AA11*(1+'Inputs'!$B$37)</f>
        <v>42902.289286138286</v>
      </c>
      <c r="AD11" s="13"/>
      <c r="AE11" s="132">
        <f>AC11*(1+'Inputs'!$B$37)</f>
        <v>45047.4037504452</v>
      </c>
      <c r="AF11" s="13"/>
      <c r="AG11" s="133">
        <f>AE11*(1+'Inputs'!$B$37)</f>
        <v>47299.773937967460</v>
      </c>
    </row>
    <row r="12" ht="16.2" customHeight="1">
      <c r="A12" t="s" s="72">
        <v>68</v>
      </c>
      <c r="B12" s="85">
        <f>'Inputs'!B35</f>
        <v>0.05</v>
      </c>
      <c r="C12" s="86">
        <f>-C11*'Inputs'!B35</f>
        <v>-1137.6</v>
      </c>
      <c r="D12" s="81"/>
      <c r="E12" s="134">
        <f>-E11*'Inputs'!$B$35</f>
        <v>-1194.48</v>
      </c>
      <c r="F12" s="132"/>
      <c r="G12" s="134">
        <f>-G11*'Inputs'!$B$35</f>
        <v>-1254.204</v>
      </c>
      <c r="H12" s="132"/>
      <c r="I12" s="134">
        <f>-I11*'Inputs'!$B$35</f>
        <v>-1316.9142</v>
      </c>
      <c r="J12" s="132"/>
      <c r="K12" s="134">
        <f>-K11*'Inputs'!$B$35</f>
        <v>-1382.75991</v>
      </c>
      <c r="L12" s="132"/>
      <c r="M12" s="134">
        <f>-M11*'Inputs'!$B$35</f>
        <v>-1451.8979055</v>
      </c>
      <c r="N12" s="132"/>
      <c r="O12" s="134">
        <f>-O11*'Inputs'!$B$35</f>
        <v>-1524.492800775</v>
      </c>
      <c r="P12" s="13"/>
      <c r="Q12" s="134">
        <f>-Q11*'Inputs'!$B$35</f>
        <v>-1600.717440813751</v>
      </c>
      <c r="R12" s="13"/>
      <c r="S12" s="134">
        <f>-S11*'Inputs'!$B$35</f>
        <v>-1680.753312854438</v>
      </c>
      <c r="T12" s="13"/>
      <c r="U12" s="134">
        <f>-U11*'Inputs'!$B$35</f>
        <v>-1764.790978497160</v>
      </c>
      <c r="V12" s="13"/>
      <c r="W12" s="134">
        <f>-W11*'Inputs'!$B$35</f>
        <v>-1853.030527422018</v>
      </c>
      <c r="X12" s="13"/>
      <c r="Y12" s="134">
        <f>-Y11*'Inputs'!$B$35</f>
        <v>-1945.682053793120</v>
      </c>
      <c r="Z12" s="13"/>
      <c r="AA12" s="134">
        <f>-AA11*'Inputs'!$B$35</f>
        <v>-2042.966156482776</v>
      </c>
      <c r="AB12" s="13"/>
      <c r="AC12" s="134">
        <f>-AC11*'Inputs'!$B$35</f>
        <v>-2145.114464306914</v>
      </c>
      <c r="AD12" s="13"/>
      <c r="AE12" s="134">
        <f>-AE11*'Inputs'!$B$35</f>
        <v>-2252.370187522260</v>
      </c>
      <c r="AF12" s="13"/>
      <c r="AG12" s="135">
        <f>-AG11*'Inputs'!$B$35</f>
        <v>-2364.988696898373</v>
      </c>
    </row>
    <row r="13" ht="15.6" customHeight="1">
      <c r="A13" t="s" s="69">
        <v>69</v>
      </c>
      <c r="B13" s="88"/>
      <c r="C13" s="89">
        <f>SUM(C11:C12)</f>
        <v>21614.4</v>
      </c>
      <c r="D13" s="81"/>
      <c r="E13" s="89">
        <f>SUM(E11:E12)</f>
        <v>22695.12</v>
      </c>
      <c r="F13" s="132"/>
      <c r="G13" s="89">
        <f>SUM(G11:G12)</f>
        <v>23829.876</v>
      </c>
      <c r="H13" s="132"/>
      <c r="I13" s="89">
        <f>SUM(I11:I12)</f>
        <v>25021.3698</v>
      </c>
      <c r="J13" s="132"/>
      <c r="K13" s="89">
        <f>SUM(K11:K12)</f>
        <v>26272.438290000006</v>
      </c>
      <c r="L13" s="96"/>
      <c r="M13" s="89">
        <f>SUM(M11:M12)</f>
        <v>27586.060204500005</v>
      </c>
      <c r="N13" s="96"/>
      <c r="O13" s="89">
        <f>SUM(O11:O12)</f>
        <v>28965.363214725010</v>
      </c>
      <c r="P13" s="13"/>
      <c r="Q13" s="89">
        <f>SUM(Q11:Q12)</f>
        <v>30413.631375461260</v>
      </c>
      <c r="R13" s="13"/>
      <c r="S13" s="89">
        <f>SUM(S11:S12)</f>
        <v>31934.312944234327</v>
      </c>
      <c r="T13" s="13"/>
      <c r="U13" s="89">
        <f>SUM(U11:U12)</f>
        <v>33531.028591446040</v>
      </c>
      <c r="V13" s="13"/>
      <c r="W13" s="89">
        <f>SUM(W11:W12)</f>
        <v>35207.580021018352</v>
      </c>
      <c r="X13" s="13"/>
      <c r="Y13" s="89">
        <f>SUM(Y11:Y12)</f>
        <v>36967.959022069270</v>
      </c>
      <c r="Z13" s="13"/>
      <c r="AA13" s="89">
        <f>SUM(AA11:AA12)</f>
        <v>38816.356973172733</v>
      </c>
      <c r="AB13" s="13"/>
      <c r="AC13" s="89">
        <f>SUM(AC11:AC12)</f>
        <v>40757.174821831373</v>
      </c>
      <c r="AD13" s="13"/>
      <c r="AE13" s="89">
        <f>SUM(AE11:AE12)</f>
        <v>42795.033562922938</v>
      </c>
      <c r="AF13" s="13"/>
      <c r="AG13" s="136">
        <f>SUM(AG11:AG12)</f>
        <v>44934.785241069090</v>
      </c>
    </row>
    <row r="14" ht="15.6" customHeight="1">
      <c r="A14" s="90"/>
      <c r="B14" s="73"/>
      <c r="C14" s="81"/>
      <c r="D14" s="7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68"/>
    </row>
    <row r="15" ht="15.6" customHeight="1">
      <c r="A15" t="s" s="80">
        <v>70</v>
      </c>
      <c r="B15" s="73"/>
      <c r="C15" s="81"/>
      <c r="D15" s="7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68"/>
    </row>
    <row r="16" ht="15.6" customHeight="1">
      <c r="A16" t="s" s="72">
        <v>37</v>
      </c>
      <c r="B16" s="73"/>
      <c r="C16" s="81">
        <f>'Inputs'!B42</f>
        <v>925</v>
      </c>
      <c r="D16" s="81"/>
      <c r="E16" s="132">
        <f>C16*(1+'Inputs'!$B$39)</f>
        <v>980.5</v>
      </c>
      <c r="F16" s="132"/>
      <c r="G16" s="132">
        <f>E16*(1+'Inputs'!$B$39)</f>
        <v>1039.33</v>
      </c>
      <c r="H16" s="132"/>
      <c r="I16" s="132">
        <f>G16*(1+'Inputs'!$B$39)</f>
        <v>1101.6898</v>
      </c>
      <c r="J16" s="132"/>
      <c r="K16" s="132">
        <f>I16*(1+'Inputs'!$B$39)</f>
        <v>1167.791188</v>
      </c>
      <c r="L16" s="132"/>
      <c r="M16" s="132">
        <f>K16*(1+'Inputs'!$B$39)</f>
        <v>1237.85865928</v>
      </c>
      <c r="N16" s="132"/>
      <c r="O16" s="132">
        <f>M16*(1+'Inputs'!$B$39)</f>
        <v>1312.1301788368</v>
      </c>
      <c r="P16" s="13"/>
      <c r="Q16" s="132">
        <f>O16*(1+'Inputs'!$B$39)</f>
        <v>1390.857989567009</v>
      </c>
      <c r="R16" s="13"/>
      <c r="S16" s="132">
        <f>Q16*(1+'Inputs'!$B$39)</f>
        <v>1474.309468941029</v>
      </c>
      <c r="T16" s="13"/>
      <c r="U16" s="132">
        <f>S16*(1+'Inputs'!$B$39)</f>
        <v>1562.768037077491</v>
      </c>
      <c r="V16" s="13"/>
      <c r="W16" s="132">
        <f>U16*(1+'Inputs'!$B$39)</f>
        <v>1656.534119302141</v>
      </c>
      <c r="X16" s="13"/>
      <c r="Y16" s="132">
        <f>W16*(1+'Inputs'!$B$39)</f>
        <v>1755.926166460269</v>
      </c>
      <c r="Z16" s="13"/>
      <c r="AA16" s="132">
        <f>Y16*(1+'Inputs'!$B$39)</f>
        <v>1861.281736447885</v>
      </c>
      <c r="AB16" s="13"/>
      <c r="AC16" s="132">
        <f>AA16*(1+'Inputs'!$B$39)</f>
        <v>1972.958640634758</v>
      </c>
      <c r="AD16" s="13"/>
      <c r="AE16" s="132">
        <f>AC16*(1+'Inputs'!$B$39)</f>
        <v>2091.336159072844</v>
      </c>
      <c r="AF16" s="13"/>
      <c r="AG16" s="133">
        <f>AE16*(1+'Inputs'!$B$39)</f>
        <v>2216.816328617215</v>
      </c>
    </row>
    <row r="17" ht="15.6" customHeight="1">
      <c r="A17" t="s" s="72">
        <v>38</v>
      </c>
      <c r="B17" s="73"/>
      <c r="C17" s="81">
        <f>'Inputs'!B43</f>
        <v>250</v>
      </c>
      <c r="D17" s="81"/>
      <c r="E17" s="132">
        <f>C17*(1.03)</f>
        <v>257.5</v>
      </c>
      <c r="F17" s="132"/>
      <c r="G17" s="132">
        <f>E17*(1.03)</f>
        <v>265.225</v>
      </c>
      <c r="H17" s="132"/>
      <c r="I17" s="132">
        <f>G17*(1.03)</f>
        <v>273.18175</v>
      </c>
      <c r="J17" s="132"/>
      <c r="K17" s="132">
        <f>I17*(1.03)</f>
        <v>281.3772025</v>
      </c>
      <c r="L17" s="132"/>
      <c r="M17" s="132">
        <f>K17*(1.03)</f>
        <v>289.818518575</v>
      </c>
      <c r="N17" s="132"/>
      <c r="O17" s="132">
        <f>M17*(1.03)</f>
        <v>298.513074132250</v>
      </c>
      <c r="P17" s="13"/>
      <c r="Q17" s="132">
        <f>O17*(1.03)</f>
        <v>307.4684663562176</v>
      </c>
      <c r="R17" s="13"/>
      <c r="S17" s="132">
        <f>Q17*(1.03)</f>
        <v>316.6925203469041</v>
      </c>
      <c r="T17" s="13"/>
      <c r="U17" s="132">
        <f>S17*(1.03)</f>
        <v>326.1932959573112</v>
      </c>
      <c r="V17" s="13"/>
      <c r="W17" s="132">
        <f>U17*(1.03)</f>
        <v>335.9790948360305</v>
      </c>
      <c r="X17" s="13"/>
      <c r="Y17" s="132">
        <f>W17*(1.03)</f>
        <v>346.0584676811114</v>
      </c>
      <c r="Z17" s="13"/>
      <c r="AA17" s="132">
        <f>Y17*(1.03)</f>
        <v>356.4402217115448</v>
      </c>
      <c r="AB17" s="13"/>
      <c r="AC17" s="132">
        <f>AA17*(1.03)</f>
        <v>367.1334283628912</v>
      </c>
      <c r="AD17" s="13"/>
      <c r="AE17" s="132">
        <f>AC17*(1.03)</f>
        <v>378.1474312137779</v>
      </c>
      <c r="AF17" s="13"/>
      <c r="AG17" s="133">
        <f>AE17*(1.03)</f>
        <v>389.4918541501913</v>
      </c>
    </row>
    <row r="18" ht="15.6" customHeight="1">
      <c r="A18" t="s" s="72">
        <v>39</v>
      </c>
      <c r="B18" s="73"/>
      <c r="C18" s="81">
        <f>'Inputs'!B44</f>
        <v>1800</v>
      </c>
      <c r="D18" s="81"/>
      <c r="E18" s="132">
        <f>C18*(1.03)</f>
        <v>1854</v>
      </c>
      <c r="F18" s="132"/>
      <c r="G18" s="132">
        <f>E18*(1.03)</f>
        <v>1909.62</v>
      </c>
      <c r="H18" s="132"/>
      <c r="I18" s="132">
        <f>G18*(1.03)</f>
        <v>1966.9086</v>
      </c>
      <c r="J18" s="132"/>
      <c r="K18" s="132">
        <f>I18*(1.03)</f>
        <v>2025.915858</v>
      </c>
      <c r="L18" s="132"/>
      <c r="M18" s="132">
        <f>K18*(1.03)</f>
        <v>2086.693333740001</v>
      </c>
      <c r="N18" s="132"/>
      <c r="O18" s="132">
        <f>M18*(1.03)</f>
        <v>2149.294133752201</v>
      </c>
      <c r="P18" s="13"/>
      <c r="Q18" s="132">
        <f>O18*(1.03)</f>
        <v>2213.772957764767</v>
      </c>
      <c r="R18" s="13"/>
      <c r="S18" s="132">
        <f>Q18*(1.03)</f>
        <v>2280.186146497710</v>
      </c>
      <c r="T18" s="13"/>
      <c r="U18" s="132">
        <f>S18*(1.03)</f>
        <v>2348.591730892641</v>
      </c>
      <c r="V18" s="13"/>
      <c r="W18" s="132">
        <f>U18*(1.03)</f>
        <v>2419.049482819421</v>
      </c>
      <c r="X18" s="13"/>
      <c r="Y18" s="132">
        <f>W18*(1.03)</f>
        <v>2491.620967304003</v>
      </c>
      <c r="Z18" s="13"/>
      <c r="AA18" s="132">
        <f>Y18*(1.03)</f>
        <v>2566.369596323123</v>
      </c>
      <c r="AB18" s="13"/>
      <c r="AC18" s="132">
        <f>AA18*(1.03)</f>
        <v>2643.360684212817</v>
      </c>
      <c r="AD18" s="13"/>
      <c r="AE18" s="132">
        <f>AC18*(1.03)</f>
        <v>2722.661504739202</v>
      </c>
      <c r="AF18" s="13"/>
      <c r="AG18" s="133">
        <f>AE18*(1.03)</f>
        <v>2804.341349881377</v>
      </c>
    </row>
    <row r="19" ht="15.6" customHeight="1">
      <c r="A19" t="s" s="72">
        <v>41</v>
      </c>
      <c r="B19" s="73"/>
      <c r="C19" s="81">
        <f>'Inputs'!B45</f>
        <v>1137.6</v>
      </c>
      <c r="D19" s="81"/>
      <c r="E19" s="132">
        <f>C19*(1.03)</f>
        <v>1171.728</v>
      </c>
      <c r="F19" s="132"/>
      <c r="G19" s="132">
        <f>E19*(1.03)</f>
        <v>1206.87984</v>
      </c>
      <c r="H19" s="132"/>
      <c r="I19" s="132">
        <f>G19*(1.03)</f>
        <v>1243.0862352</v>
      </c>
      <c r="J19" s="132"/>
      <c r="K19" s="132">
        <f>I19*(1.03)</f>
        <v>1280.378822256</v>
      </c>
      <c r="L19" s="132"/>
      <c r="M19" s="132">
        <f>K19*(1.03)</f>
        <v>1318.790186923680</v>
      </c>
      <c r="N19" s="132"/>
      <c r="O19" s="132">
        <f>M19*(1.03)</f>
        <v>1358.353892531391</v>
      </c>
      <c r="P19" s="13"/>
      <c r="Q19" s="132">
        <f>O19*(1.03)</f>
        <v>1399.104509307333</v>
      </c>
      <c r="R19" s="13"/>
      <c r="S19" s="132">
        <f>Q19*(1.03)</f>
        <v>1441.077644586553</v>
      </c>
      <c r="T19" s="13"/>
      <c r="U19" s="132">
        <f>S19*(1.03)</f>
        <v>1484.309973924149</v>
      </c>
      <c r="V19" s="13"/>
      <c r="W19" s="132">
        <f>U19*(1.03)</f>
        <v>1528.839273141874</v>
      </c>
      <c r="X19" s="13"/>
      <c r="Y19" s="132">
        <f>W19*(1.03)</f>
        <v>1574.704451336130</v>
      </c>
      <c r="Z19" s="13"/>
      <c r="AA19" s="132">
        <f>Y19*(1.03)</f>
        <v>1621.945584876214</v>
      </c>
      <c r="AB19" s="13"/>
      <c r="AC19" s="132">
        <f>AA19*(1.03)</f>
        <v>1670.6039524225</v>
      </c>
      <c r="AD19" s="13"/>
      <c r="AE19" s="132">
        <f>AC19*(1.03)</f>
        <v>1720.722070995175</v>
      </c>
      <c r="AF19" s="13"/>
      <c r="AG19" s="133">
        <f>AE19*(1.03)</f>
        <v>1772.343733125031</v>
      </c>
    </row>
    <row r="20" ht="15.6" customHeight="1">
      <c r="A20" t="s" s="72">
        <v>43</v>
      </c>
      <c r="B20" s="73"/>
      <c r="C20" s="81">
        <f>'Inputs'!B46</f>
        <v>0</v>
      </c>
      <c r="D20" s="81"/>
      <c r="E20" s="132">
        <f>C20*1.03</f>
        <v>0</v>
      </c>
      <c r="F20" s="132"/>
      <c r="G20" s="132">
        <f>E20*1.03</f>
        <v>0</v>
      </c>
      <c r="H20" s="132"/>
      <c r="I20" s="132">
        <f>G20*1.03</f>
        <v>0</v>
      </c>
      <c r="J20" s="132"/>
      <c r="K20" s="132">
        <f>I20*1.03</f>
        <v>0</v>
      </c>
      <c r="L20" s="132"/>
      <c r="M20" s="132">
        <f>K20*1.03</f>
        <v>0</v>
      </c>
      <c r="N20" s="132"/>
      <c r="O20" s="132">
        <f>M20*1.03</f>
        <v>0</v>
      </c>
      <c r="P20" s="13"/>
      <c r="Q20" s="132">
        <f>O20*1.03</f>
        <v>0</v>
      </c>
      <c r="R20" s="13"/>
      <c r="S20" s="132">
        <f>Q20*1.03</f>
        <v>0</v>
      </c>
      <c r="T20" s="13"/>
      <c r="U20" s="132">
        <f>S20*1.03</f>
        <v>0</v>
      </c>
      <c r="V20" s="13"/>
      <c r="W20" s="132">
        <f>U20*1.03</f>
        <v>0</v>
      </c>
      <c r="X20" s="13"/>
      <c r="Y20" s="132">
        <f>W20*1.03</f>
        <v>0</v>
      </c>
      <c r="Z20" s="13"/>
      <c r="AA20" s="132">
        <f>Y20*1.03</f>
        <v>0</v>
      </c>
      <c r="AB20" s="13"/>
      <c r="AC20" s="132">
        <f>AA20*1.03</f>
        <v>0</v>
      </c>
      <c r="AD20" s="13"/>
      <c r="AE20" s="132">
        <f>AC20*1.03</f>
        <v>0</v>
      </c>
      <c r="AF20" s="13"/>
      <c r="AG20" s="133">
        <f>AE20*1.03</f>
        <v>0</v>
      </c>
    </row>
    <row r="21" ht="15.6" customHeight="1">
      <c r="A21" t="s" s="72">
        <v>74</v>
      </c>
      <c r="B21" s="73"/>
      <c r="C21" s="81">
        <f>'Inputs'!B47</f>
        <v>0</v>
      </c>
      <c r="D21" s="81"/>
      <c r="E21" s="132">
        <f>C21*1.03</f>
        <v>0</v>
      </c>
      <c r="F21" s="132"/>
      <c r="G21" s="132">
        <f>E21*1.03</f>
        <v>0</v>
      </c>
      <c r="H21" s="132"/>
      <c r="I21" s="132">
        <f>G21*1.03</f>
        <v>0</v>
      </c>
      <c r="J21" s="132"/>
      <c r="K21" s="132">
        <f>I21*1.03</f>
        <v>0</v>
      </c>
      <c r="L21" s="132"/>
      <c r="M21" s="132">
        <f>K21*1.03</f>
        <v>0</v>
      </c>
      <c r="N21" s="132"/>
      <c r="O21" s="132">
        <f>M21*1.03</f>
        <v>0</v>
      </c>
      <c r="P21" s="13"/>
      <c r="Q21" s="132">
        <f>O21*1.03</f>
        <v>0</v>
      </c>
      <c r="R21" s="13"/>
      <c r="S21" s="132">
        <f>Q21*1.03</f>
        <v>0</v>
      </c>
      <c r="T21" s="13"/>
      <c r="U21" s="132">
        <f>S21*1.03</f>
        <v>0</v>
      </c>
      <c r="V21" s="13"/>
      <c r="W21" s="132">
        <f>U21*1.03</f>
        <v>0</v>
      </c>
      <c r="X21" s="13"/>
      <c r="Y21" s="132">
        <f>W21*1.03</f>
        <v>0</v>
      </c>
      <c r="Z21" s="13"/>
      <c r="AA21" s="132">
        <f>Y21*1.03</f>
        <v>0</v>
      </c>
      <c r="AB21" s="13"/>
      <c r="AC21" s="132">
        <f>AA21*1.03</f>
        <v>0</v>
      </c>
      <c r="AD21" s="13"/>
      <c r="AE21" s="132">
        <f>AC21*1.03</f>
        <v>0</v>
      </c>
      <c r="AF21" s="13"/>
      <c r="AG21" s="133">
        <f>AE21*1.03</f>
        <v>0</v>
      </c>
    </row>
    <row r="22" ht="15.6" customHeight="1">
      <c r="A22" t="s" s="72">
        <v>75</v>
      </c>
      <c r="B22" s="73"/>
      <c r="C22" s="81">
        <f>'Inputs'!B48</f>
        <v>0</v>
      </c>
      <c r="D22" s="81"/>
      <c r="E22" s="132">
        <f>C22*1.03</f>
        <v>0</v>
      </c>
      <c r="F22" s="132"/>
      <c r="G22" s="132">
        <f>E22*1.03</f>
        <v>0</v>
      </c>
      <c r="H22" s="132"/>
      <c r="I22" s="132">
        <f>G22*1.03</f>
        <v>0</v>
      </c>
      <c r="J22" s="132"/>
      <c r="K22" s="132">
        <f>I22*1.03</f>
        <v>0</v>
      </c>
      <c r="L22" s="132"/>
      <c r="M22" s="132">
        <f>K22*1.03</f>
        <v>0</v>
      </c>
      <c r="N22" s="132"/>
      <c r="O22" s="132">
        <f>M22*1.03</f>
        <v>0</v>
      </c>
      <c r="P22" s="13"/>
      <c r="Q22" s="132">
        <f>O22*1.03</f>
        <v>0</v>
      </c>
      <c r="R22" s="13"/>
      <c r="S22" s="132">
        <f>Q22*1.03</f>
        <v>0</v>
      </c>
      <c r="T22" s="13"/>
      <c r="U22" s="132">
        <f>S22*1.03</f>
        <v>0</v>
      </c>
      <c r="V22" s="13"/>
      <c r="W22" s="132">
        <f>U22*1.03</f>
        <v>0</v>
      </c>
      <c r="X22" s="13"/>
      <c r="Y22" s="132">
        <f>W22*1.03</f>
        <v>0</v>
      </c>
      <c r="Z22" s="13"/>
      <c r="AA22" s="132">
        <f>Y22*1.03</f>
        <v>0</v>
      </c>
      <c r="AB22" s="13"/>
      <c r="AC22" s="132">
        <f>AA22*1.03</f>
        <v>0</v>
      </c>
      <c r="AD22" s="13"/>
      <c r="AE22" s="132">
        <f>AC22*1.03</f>
        <v>0</v>
      </c>
      <c r="AF22" s="13"/>
      <c r="AG22" s="133">
        <f>AE22*1.03</f>
        <v>0</v>
      </c>
    </row>
    <row r="23" ht="15.6" customHeight="1">
      <c r="A23" t="s" s="72">
        <v>76</v>
      </c>
      <c r="B23" s="73"/>
      <c r="C23" s="81">
        <f>'Inputs'!B49</f>
        <v>0</v>
      </c>
      <c r="D23" s="81"/>
      <c r="E23" s="132">
        <f>C23*1.03</f>
        <v>0</v>
      </c>
      <c r="F23" s="132"/>
      <c r="G23" s="132">
        <f>E23*1.03</f>
        <v>0</v>
      </c>
      <c r="H23" s="132"/>
      <c r="I23" s="132">
        <f>G23*1.03</f>
        <v>0</v>
      </c>
      <c r="J23" s="132"/>
      <c r="K23" s="132">
        <f>I23*1.03</f>
        <v>0</v>
      </c>
      <c r="L23" s="132"/>
      <c r="M23" s="132">
        <f>K23*1.03</f>
        <v>0</v>
      </c>
      <c r="N23" s="132"/>
      <c r="O23" s="132">
        <f>M23*1.03</f>
        <v>0</v>
      </c>
      <c r="P23" s="13"/>
      <c r="Q23" s="132">
        <f>O23*1.03</f>
        <v>0</v>
      </c>
      <c r="R23" s="13"/>
      <c r="S23" s="132">
        <f>Q23*1.03</f>
        <v>0</v>
      </c>
      <c r="T23" s="13"/>
      <c r="U23" s="132">
        <f>S23*1.03</f>
        <v>0</v>
      </c>
      <c r="V23" s="13"/>
      <c r="W23" s="132">
        <f>U23*1.03</f>
        <v>0</v>
      </c>
      <c r="X23" s="13"/>
      <c r="Y23" s="132">
        <f>W23*1.03</f>
        <v>0</v>
      </c>
      <c r="Z23" s="13"/>
      <c r="AA23" s="132">
        <f>Y23*1.03</f>
        <v>0</v>
      </c>
      <c r="AB23" s="13"/>
      <c r="AC23" s="132">
        <f>AA23*1.03</f>
        <v>0</v>
      </c>
      <c r="AD23" s="13"/>
      <c r="AE23" s="132">
        <f>AC23*1.03</f>
        <v>0</v>
      </c>
      <c r="AF23" s="13"/>
      <c r="AG23" s="133">
        <f>AE23*1.03</f>
        <v>0</v>
      </c>
    </row>
    <row r="24" ht="15.6" customHeight="1">
      <c r="A24" t="s" s="72">
        <v>47</v>
      </c>
      <c r="B24" s="73"/>
      <c r="C24" s="81">
        <f>'Inputs'!B50</f>
        <v>0</v>
      </c>
      <c r="D24" s="81"/>
      <c r="E24" s="132">
        <f>C24*1.03</f>
        <v>0</v>
      </c>
      <c r="F24" s="132"/>
      <c r="G24" s="132">
        <f>E24*1.03</f>
        <v>0</v>
      </c>
      <c r="H24" s="132"/>
      <c r="I24" s="132">
        <f>G24*1.03</f>
        <v>0</v>
      </c>
      <c r="J24" s="132"/>
      <c r="K24" s="132">
        <f>I24*1.03</f>
        <v>0</v>
      </c>
      <c r="L24" s="132"/>
      <c r="M24" s="132">
        <f>K24*1.03</f>
        <v>0</v>
      </c>
      <c r="N24" s="132"/>
      <c r="O24" s="132">
        <f>M24*1.03</f>
        <v>0</v>
      </c>
      <c r="P24" s="13"/>
      <c r="Q24" s="132">
        <f>O24*1.03</f>
        <v>0</v>
      </c>
      <c r="R24" s="13"/>
      <c r="S24" s="132">
        <f>Q24*1.03</f>
        <v>0</v>
      </c>
      <c r="T24" s="13"/>
      <c r="U24" s="132">
        <f>S24*1.03</f>
        <v>0</v>
      </c>
      <c r="V24" s="13"/>
      <c r="W24" s="132">
        <f>U24*1.03</f>
        <v>0</v>
      </c>
      <c r="X24" s="13"/>
      <c r="Y24" s="132">
        <f>W24*1.03</f>
        <v>0</v>
      </c>
      <c r="Z24" s="13"/>
      <c r="AA24" s="132">
        <f>Y24*1.03</f>
        <v>0</v>
      </c>
      <c r="AB24" s="13"/>
      <c r="AC24" s="132">
        <f>AA24*1.03</f>
        <v>0</v>
      </c>
      <c r="AD24" s="13"/>
      <c r="AE24" s="132">
        <f>AC24*1.03</f>
        <v>0</v>
      </c>
      <c r="AF24" s="13"/>
      <c r="AG24" s="133">
        <f>AE24*1.03</f>
        <v>0</v>
      </c>
    </row>
    <row r="25" ht="15.6" customHeight="1">
      <c r="A25" t="s" s="72">
        <f>'Inputs'!A51</f>
        <v>48</v>
      </c>
      <c r="B25" s="73"/>
      <c r="C25" s="81">
        <f>'Inputs'!B51</f>
        <v>2400</v>
      </c>
      <c r="D25" s="81"/>
      <c r="E25" s="132">
        <f>C25*1.03</f>
        <v>2472</v>
      </c>
      <c r="F25" s="132"/>
      <c r="G25" s="132">
        <f>E25*1.03</f>
        <v>2546.16</v>
      </c>
      <c r="H25" s="132"/>
      <c r="I25" s="132">
        <f>G25*1.03</f>
        <v>2622.5448</v>
      </c>
      <c r="J25" s="132"/>
      <c r="K25" s="132">
        <f>I25*1.03</f>
        <v>2701.221144</v>
      </c>
      <c r="L25" s="132"/>
      <c r="M25" s="132">
        <f>K25*1.03</f>
        <v>2782.25777832</v>
      </c>
      <c r="N25" s="132"/>
      <c r="O25" s="132">
        <f>M25*1.03</f>
        <v>2865.7255116696</v>
      </c>
      <c r="P25" s="13"/>
      <c r="Q25" s="132">
        <f>O25*1.03</f>
        <v>2951.697277019688</v>
      </c>
      <c r="R25" s="13"/>
      <c r="S25" s="132">
        <f>Q25*1.03</f>
        <v>3040.248195330279</v>
      </c>
      <c r="T25" s="13"/>
      <c r="U25" s="132">
        <f>S25*1.03</f>
        <v>3131.455641190187</v>
      </c>
      <c r="V25" s="13"/>
      <c r="W25" s="132">
        <f>U25*1.03</f>
        <v>3225.399310425893</v>
      </c>
      <c r="X25" s="13"/>
      <c r="Y25" s="132">
        <f>W25*1.03</f>
        <v>3322.161289738670</v>
      </c>
      <c r="Z25" s="13"/>
      <c r="AA25" s="132">
        <f>Y25*1.03</f>
        <v>3421.826128430830</v>
      </c>
      <c r="AB25" s="13"/>
      <c r="AC25" s="132">
        <f>AA25*1.03</f>
        <v>3524.480912283755</v>
      </c>
      <c r="AD25" s="13"/>
      <c r="AE25" s="132">
        <f>AC25*1.03</f>
        <v>3630.215339652268</v>
      </c>
      <c r="AF25" s="13"/>
      <c r="AG25" s="133">
        <f>AE25*1.03</f>
        <v>3739.121799841836</v>
      </c>
    </row>
    <row r="26" ht="15.6" customHeight="1">
      <c r="A26" t="s" s="72">
        <f>'Inputs'!A52</f>
        <v>49</v>
      </c>
      <c r="B26" s="73"/>
      <c r="C26" s="81">
        <f>'Inputs'!B52</f>
        <v>0</v>
      </c>
      <c r="D26" s="81"/>
      <c r="E26" s="132">
        <f>C26*1.03</f>
        <v>0</v>
      </c>
      <c r="F26" s="132"/>
      <c r="G26" s="132">
        <f>E26*1.03</f>
        <v>0</v>
      </c>
      <c r="H26" s="132"/>
      <c r="I26" s="132">
        <f>G26*1.03</f>
        <v>0</v>
      </c>
      <c r="J26" s="132"/>
      <c r="K26" s="132">
        <f>I26*1.03</f>
        <v>0</v>
      </c>
      <c r="L26" s="132"/>
      <c r="M26" s="132">
        <f>K26*1.03</f>
        <v>0</v>
      </c>
      <c r="N26" s="132"/>
      <c r="O26" s="132">
        <f>M26*1.03</f>
        <v>0</v>
      </c>
      <c r="P26" s="13"/>
      <c r="Q26" s="132">
        <f>O26*1.03</f>
        <v>0</v>
      </c>
      <c r="R26" s="13"/>
      <c r="S26" s="132">
        <f>Q26*1.03</f>
        <v>0</v>
      </c>
      <c r="T26" s="13"/>
      <c r="U26" s="132">
        <f>S26*1.03</f>
        <v>0</v>
      </c>
      <c r="V26" s="13"/>
      <c r="W26" s="132">
        <f>U26*1.03</f>
        <v>0</v>
      </c>
      <c r="X26" s="13"/>
      <c r="Y26" s="132">
        <f>W26*1.03</f>
        <v>0</v>
      </c>
      <c r="Z26" s="13"/>
      <c r="AA26" s="132">
        <f>Y26*1.03</f>
        <v>0</v>
      </c>
      <c r="AB26" s="13"/>
      <c r="AC26" s="132">
        <f>AA26*1.03</f>
        <v>0</v>
      </c>
      <c r="AD26" s="13"/>
      <c r="AE26" s="132">
        <f>AC26*1.03</f>
        <v>0</v>
      </c>
      <c r="AF26" s="13"/>
      <c r="AG26" s="133">
        <f>AE26*1.03</f>
        <v>0</v>
      </c>
    </row>
    <row r="27" ht="15.6" customHeight="1">
      <c r="A27" t="s" s="72">
        <f>'Inputs'!A53</f>
        <v>49</v>
      </c>
      <c r="B27" s="73"/>
      <c r="C27" s="81">
        <f>'Inputs'!B53</f>
        <v>0</v>
      </c>
      <c r="D27" s="81"/>
      <c r="E27" s="132">
        <f>C27*1.03</f>
        <v>0</v>
      </c>
      <c r="F27" s="132"/>
      <c r="G27" s="132">
        <f>E27*1.03</f>
        <v>0</v>
      </c>
      <c r="H27" s="132"/>
      <c r="I27" s="132">
        <f>G27*1.03</f>
        <v>0</v>
      </c>
      <c r="J27" s="132"/>
      <c r="K27" s="132">
        <f>I27*1.03</f>
        <v>0</v>
      </c>
      <c r="L27" s="132"/>
      <c r="M27" s="132">
        <f>K27*1.03</f>
        <v>0</v>
      </c>
      <c r="N27" s="132"/>
      <c r="O27" s="132">
        <f>M27*1.03</f>
        <v>0</v>
      </c>
      <c r="P27" s="13"/>
      <c r="Q27" s="132">
        <f>O27*1.03</f>
        <v>0</v>
      </c>
      <c r="R27" s="13"/>
      <c r="S27" s="132">
        <f>Q27*1.03</f>
        <v>0</v>
      </c>
      <c r="T27" s="13"/>
      <c r="U27" s="132">
        <f>S27*1.03</f>
        <v>0</v>
      </c>
      <c r="V27" s="13"/>
      <c r="W27" s="132">
        <f>U27*1.03</f>
        <v>0</v>
      </c>
      <c r="X27" s="13"/>
      <c r="Y27" s="132">
        <f>W27*1.03</f>
        <v>0</v>
      </c>
      <c r="Z27" s="13"/>
      <c r="AA27" s="132">
        <f>Y27*1.03</f>
        <v>0</v>
      </c>
      <c r="AB27" s="13"/>
      <c r="AC27" s="132">
        <f>AA27*1.03</f>
        <v>0</v>
      </c>
      <c r="AD27" s="13"/>
      <c r="AE27" s="132">
        <f>AC27*1.03</f>
        <v>0</v>
      </c>
      <c r="AF27" s="13"/>
      <c r="AG27" s="133">
        <f>AE27*1.03</f>
        <v>0</v>
      </c>
    </row>
    <row r="28" ht="15.6" customHeight="1">
      <c r="A28" t="s" s="72">
        <f>'Inputs'!A54</f>
        <v>49</v>
      </c>
      <c r="B28" s="73"/>
      <c r="C28" s="81">
        <f>'Inputs'!B54</f>
        <v>0</v>
      </c>
      <c r="D28" s="81"/>
      <c r="E28" s="132">
        <f>C28*1.03</f>
        <v>0</v>
      </c>
      <c r="F28" s="132"/>
      <c r="G28" s="132">
        <f>E28*1.03</f>
        <v>0</v>
      </c>
      <c r="H28" s="132"/>
      <c r="I28" s="132">
        <f>G28*1.03</f>
        <v>0</v>
      </c>
      <c r="J28" s="132"/>
      <c r="K28" s="132">
        <f>I28*1.03</f>
        <v>0</v>
      </c>
      <c r="L28" s="132"/>
      <c r="M28" s="132">
        <f>K28*1.03</f>
        <v>0</v>
      </c>
      <c r="N28" s="132"/>
      <c r="O28" s="132">
        <f>M28*1.03</f>
        <v>0</v>
      </c>
      <c r="P28" s="13"/>
      <c r="Q28" s="132">
        <f>O28*1.03</f>
        <v>0</v>
      </c>
      <c r="R28" s="13"/>
      <c r="S28" s="132">
        <f>Q28*1.03</f>
        <v>0</v>
      </c>
      <c r="T28" s="13"/>
      <c r="U28" s="132">
        <f>S28*1.03</f>
        <v>0</v>
      </c>
      <c r="V28" s="13"/>
      <c r="W28" s="132">
        <f>U28*1.03</f>
        <v>0</v>
      </c>
      <c r="X28" s="13"/>
      <c r="Y28" s="132">
        <f>W28*1.03</f>
        <v>0</v>
      </c>
      <c r="Z28" s="13"/>
      <c r="AA28" s="132">
        <f>Y28*1.03</f>
        <v>0</v>
      </c>
      <c r="AB28" s="13"/>
      <c r="AC28" s="132">
        <f>AA28*1.03</f>
        <v>0</v>
      </c>
      <c r="AD28" s="13"/>
      <c r="AE28" s="132">
        <f>AC28*1.03</f>
        <v>0</v>
      </c>
      <c r="AF28" s="13"/>
      <c r="AG28" s="133">
        <f>AE28*1.03</f>
        <v>0</v>
      </c>
    </row>
    <row r="29" ht="15.6" customHeight="1">
      <c r="A29" t="s" s="72">
        <f>'Inputs'!A55</f>
        <v>49</v>
      </c>
      <c r="B29" s="73"/>
      <c r="C29" s="81">
        <f>'Inputs'!B55</f>
        <v>0</v>
      </c>
      <c r="D29" s="81"/>
      <c r="E29" s="132">
        <f>C29*1.03</f>
        <v>0</v>
      </c>
      <c r="F29" s="132"/>
      <c r="G29" s="132">
        <f>E29*1.03</f>
        <v>0</v>
      </c>
      <c r="H29" s="132"/>
      <c r="I29" s="132">
        <f>G29*1.03</f>
        <v>0</v>
      </c>
      <c r="J29" s="132"/>
      <c r="K29" s="132">
        <f>I29*1.03</f>
        <v>0</v>
      </c>
      <c r="L29" s="132"/>
      <c r="M29" s="132">
        <f>K29*1.03</f>
        <v>0</v>
      </c>
      <c r="N29" s="132"/>
      <c r="O29" s="132">
        <f>M29*1.03</f>
        <v>0</v>
      </c>
      <c r="P29" s="13"/>
      <c r="Q29" s="132">
        <f>O29*1.03</f>
        <v>0</v>
      </c>
      <c r="R29" s="13"/>
      <c r="S29" s="132">
        <f>Q29*1.03</f>
        <v>0</v>
      </c>
      <c r="T29" s="13"/>
      <c r="U29" s="132">
        <f>S29*1.03</f>
        <v>0</v>
      </c>
      <c r="V29" s="13"/>
      <c r="W29" s="132">
        <f>U29*1.03</f>
        <v>0</v>
      </c>
      <c r="X29" s="13"/>
      <c r="Y29" s="132">
        <f>W29*1.03</f>
        <v>0</v>
      </c>
      <c r="Z29" s="13"/>
      <c r="AA29" s="132">
        <f>Y29*1.03</f>
        <v>0</v>
      </c>
      <c r="AB29" s="13"/>
      <c r="AC29" s="132">
        <f>AA29*1.03</f>
        <v>0</v>
      </c>
      <c r="AD29" s="13"/>
      <c r="AE29" s="132">
        <f>AC29*1.03</f>
        <v>0</v>
      </c>
      <c r="AF29" s="13"/>
      <c r="AG29" s="133">
        <f>AE29*1.03</f>
        <v>0</v>
      </c>
    </row>
    <row r="30" ht="16.2" customHeight="1">
      <c r="A30" t="s" s="72">
        <f>'Inputs'!A56</f>
        <v>49</v>
      </c>
      <c r="B30" s="73"/>
      <c r="C30" s="86">
        <f>'Inputs'!B56</f>
        <v>0</v>
      </c>
      <c r="D30" s="81"/>
      <c r="E30" s="134">
        <f>C30*1.03</f>
        <v>0</v>
      </c>
      <c r="F30" s="132"/>
      <c r="G30" s="134">
        <f>E30*1.03</f>
        <v>0</v>
      </c>
      <c r="H30" s="132"/>
      <c r="I30" s="134">
        <f>G30*1.03</f>
        <v>0</v>
      </c>
      <c r="J30" s="132"/>
      <c r="K30" s="134">
        <f>I30*1.03</f>
        <v>0</v>
      </c>
      <c r="L30" s="132"/>
      <c r="M30" s="134">
        <f>K30*1.03</f>
        <v>0</v>
      </c>
      <c r="N30" s="132"/>
      <c r="O30" s="134">
        <f>M30*1.03</f>
        <v>0</v>
      </c>
      <c r="P30" s="13"/>
      <c r="Q30" s="134">
        <f>O30*1.03</f>
        <v>0</v>
      </c>
      <c r="R30" s="13"/>
      <c r="S30" s="134">
        <f>Q30*1.03</f>
        <v>0</v>
      </c>
      <c r="T30" s="13"/>
      <c r="U30" s="134">
        <f>S30*1.03</f>
        <v>0</v>
      </c>
      <c r="V30" s="13"/>
      <c r="W30" s="134">
        <f>U30*1.03</f>
        <v>0</v>
      </c>
      <c r="X30" s="13"/>
      <c r="Y30" s="134">
        <f>W30*1.03</f>
        <v>0</v>
      </c>
      <c r="Z30" s="13"/>
      <c r="AA30" s="134">
        <f>Y30*1.03</f>
        <v>0</v>
      </c>
      <c r="AB30" s="13"/>
      <c r="AC30" s="134">
        <f>AA30*1.03</f>
        <v>0</v>
      </c>
      <c r="AD30" s="13"/>
      <c r="AE30" s="134">
        <f>AC30*1.03</f>
        <v>0</v>
      </c>
      <c r="AF30" s="13"/>
      <c r="AG30" s="135">
        <f>AE30*1.03</f>
        <v>0</v>
      </c>
    </row>
    <row r="31" ht="15.6" customHeight="1">
      <c r="A31" t="s" s="69">
        <v>77</v>
      </c>
      <c r="B31" s="73"/>
      <c r="C31" s="89">
        <f>SUM(C16:C30)</f>
        <v>6512.6</v>
      </c>
      <c r="D31" s="81"/>
      <c r="E31" s="89">
        <f>SUM(E16:E30)</f>
        <v>6735.728</v>
      </c>
      <c r="F31" s="132"/>
      <c r="G31" s="89">
        <f>SUM(G16:G30)</f>
        <v>6967.214840000001</v>
      </c>
      <c r="H31" s="132"/>
      <c r="I31" s="89">
        <f>SUM(I16:I30)</f>
        <v>7207.411185200001</v>
      </c>
      <c r="J31" s="132"/>
      <c r="K31" s="89">
        <f>SUM(K16:K30)</f>
        <v>7456.684214756001</v>
      </c>
      <c r="L31" s="96"/>
      <c r="M31" s="89">
        <f>SUM(M16:M30)</f>
        <v>7715.418476838680</v>
      </c>
      <c r="N31" s="96"/>
      <c r="O31" s="89">
        <f>SUM(O16:O30)</f>
        <v>7984.016790922242</v>
      </c>
      <c r="P31" s="13"/>
      <c r="Q31" s="89">
        <f>SUM(Q16:Q30)</f>
        <v>8262.901200015014</v>
      </c>
      <c r="R31" s="13"/>
      <c r="S31" s="89">
        <f>SUM(S16:S30)</f>
        <v>8552.513975702474</v>
      </c>
      <c r="T31" s="13"/>
      <c r="U31" s="89">
        <f>SUM(U16:U30)</f>
        <v>8853.318679041780</v>
      </c>
      <c r="V31" s="13"/>
      <c r="W31" s="89">
        <f>SUM(W16:W30)</f>
        <v>9165.801280525358</v>
      </c>
      <c r="X31" s="13"/>
      <c r="Y31" s="89">
        <f>SUM(Y16:Y30)</f>
        <v>9490.471342520183</v>
      </c>
      <c r="Z31" s="13"/>
      <c r="AA31" s="89">
        <f>SUM(AA16:AA30)</f>
        <v>9827.863267789597</v>
      </c>
      <c r="AB31" s="13"/>
      <c r="AC31" s="89">
        <f>SUM(AC16:AC30)</f>
        <v>10178.537617916722</v>
      </c>
      <c r="AD31" s="13"/>
      <c r="AE31" s="89">
        <f>SUM(AE16:AE30)</f>
        <v>10543.082505673266</v>
      </c>
      <c r="AF31" s="13"/>
      <c r="AG31" s="136">
        <f>SUM(AG16:AG30)</f>
        <v>10922.115065615650</v>
      </c>
    </row>
    <row r="32" ht="15.6" customHeight="1">
      <c r="A32" s="90"/>
      <c r="B32" s="73"/>
      <c r="C32" s="81"/>
      <c r="D32" s="81"/>
      <c r="E32" s="132"/>
      <c r="F32" s="132"/>
      <c r="G32" s="132"/>
      <c r="H32" s="132"/>
      <c r="I32" s="132"/>
      <c r="J32" s="132"/>
      <c r="K32" s="132"/>
      <c r="L32" s="132"/>
      <c r="M32" s="132"/>
      <c r="N32" s="132"/>
      <c r="O32" s="132"/>
      <c r="P32" s="13"/>
      <c r="Q32" s="132"/>
      <c r="R32" s="13"/>
      <c r="S32" s="132"/>
      <c r="T32" s="13"/>
      <c r="U32" s="132"/>
      <c r="V32" s="13"/>
      <c r="W32" s="132"/>
      <c r="X32" s="13"/>
      <c r="Y32" s="132"/>
      <c r="Z32" s="13"/>
      <c r="AA32" s="132"/>
      <c r="AB32" s="13"/>
      <c r="AC32" s="132"/>
      <c r="AD32" s="13"/>
      <c r="AE32" s="132"/>
      <c r="AF32" s="13"/>
      <c r="AG32" s="133"/>
    </row>
    <row r="33" ht="15.6" customHeight="1">
      <c r="A33" t="s" s="69">
        <v>78</v>
      </c>
      <c r="B33" s="73"/>
      <c r="C33" s="96">
        <f>C13-C31</f>
        <v>15101.8</v>
      </c>
      <c r="D33" s="81"/>
      <c r="E33" s="96">
        <f>E13-E31</f>
        <v>15959.392</v>
      </c>
      <c r="F33" s="132"/>
      <c r="G33" s="96">
        <f>G13-G31</f>
        <v>16862.66116</v>
      </c>
      <c r="H33" s="132"/>
      <c r="I33" s="96">
        <f>I13-I31</f>
        <v>17813.9586148</v>
      </c>
      <c r="J33" s="132"/>
      <c r="K33" s="96">
        <f>K13-K31</f>
        <v>18815.754075244</v>
      </c>
      <c r="L33" s="96"/>
      <c r="M33" s="96">
        <f>M13-M31</f>
        <v>19870.641727661325</v>
      </c>
      <c r="N33" s="96"/>
      <c r="O33" s="96">
        <f>O13-O31</f>
        <v>20981.346423802766</v>
      </c>
      <c r="P33" s="13"/>
      <c r="Q33" s="96">
        <f>Q13-Q31</f>
        <v>22150.730175446246</v>
      </c>
      <c r="R33" s="13"/>
      <c r="S33" s="96">
        <f>S13-S31</f>
        <v>23381.798968531853</v>
      </c>
      <c r="T33" s="13"/>
      <c r="U33" s="96">
        <f>U13-U31</f>
        <v>24677.709912404258</v>
      </c>
      <c r="V33" s="13"/>
      <c r="W33" s="96">
        <f>W13-W31</f>
        <v>26041.778740492991</v>
      </c>
      <c r="X33" s="13"/>
      <c r="Y33" s="96">
        <f>Y13-Y31</f>
        <v>27477.487679549085</v>
      </c>
      <c r="Z33" s="13"/>
      <c r="AA33" s="96">
        <f>AA13-AA31</f>
        <v>28988.493705383138</v>
      </c>
      <c r="AB33" s="13"/>
      <c r="AC33" s="96">
        <f>AC13-AC31</f>
        <v>30578.637203914652</v>
      </c>
      <c r="AD33" s="13"/>
      <c r="AE33" s="96">
        <f>AE13-AE31</f>
        <v>32251.951057249673</v>
      </c>
      <c r="AF33" s="13"/>
      <c r="AG33" s="137">
        <f>AG13-AG31</f>
        <v>34012.670175453444</v>
      </c>
    </row>
    <row r="34" ht="15" customHeight="1">
      <c r="A34" s="24"/>
      <c r="B34" s="13"/>
      <c r="C34" s="132"/>
      <c r="D34" s="132"/>
      <c r="E34" s="132"/>
      <c r="F34" s="132"/>
      <c r="G34" s="132"/>
      <c r="H34" s="132"/>
      <c r="I34" s="132"/>
      <c r="J34" s="132"/>
      <c r="K34" s="132"/>
      <c r="L34" s="132"/>
      <c r="M34" s="132"/>
      <c r="N34" s="132"/>
      <c r="O34" s="132"/>
      <c r="P34" s="13"/>
      <c r="Q34" s="132"/>
      <c r="R34" s="13"/>
      <c r="S34" s="132"/>
      <c r="T34" s="13"/>
      <c r="U34" s="132"/>
      <c r="V34" s="13"/>
      <c r="W34" s="132"/>
      <c r="X34" s="13"/>
      <c r="Y34" s="132"/>
      <c r="Z34" s="13"/>
      <c r="AA34" s="132"/>
      <c r="AB34" s="13"/>
      <c r="AC34" s="132"/>
      <c r="AD34" s="13"/>
      <c r="AE34" s="132"/>
      <c r="AF34" s="13"/>
      <c r="AG34" s="133"/>
    </row>
    <row r="35" ht="15.6" customHeight="1">
      <c r="A35" t="s" s="72">
        <v>79</v>
      </c>
      <c r="B35" s="13"/>
      <c r="C35" s="81">
        <f>IF(C40&gt;0,PMT('Inputs'!B24/12,'Inputs'!B25*12,'Inputs'!B19,0)*12,0)</f>
        <v>-9254.511287566987</v>
      </c>
      <c r="D35" s="132"/>
      <c r="E35" s="81">
        <f>IF(C40&gt;0,PMT('Inputs'!$B$24/12,'Inputs'!B25*12,'Inputs'!$B$19,0)*12,0)</f>
        <v>-9254.511287566987</v>
      </c>
      <c r="F35" s="132"/>
      <c r="G35" s="81">
        <f>IF(E40&gt;0,PMT('Inputs'!$B$24/12,'Inputs'!B25*12,'Inputs'!$B$19,0)*12,0)</f>
        <v>-9254.511287566987</v>
      </c>
      <c r="H35" s="132"/>
      <c r="I35" s="81">
        <f>IF(G40&gt;0,PMT('Inputs'!$B$24/12,'Inputs'!B25*12,'Inputs'!$B$19,0)*12,0)</f>
        <v>-9254.511287566987</v>
      </c>
      <c r="J35" s="132"/>
      <c r="K35" s="81">
        <f>IF(I40&gt;0,PMT('Inputs'!$B$24/12,'Inputs'!B25*12,'Inputs'!$B$19,0)*12)</f>
        <v>-9254.511287566987</v>
      </c>
      <c r="L35" s="81"/>
      <c r="M35" s="81">
        <f>IF(K40&gt;0,PMT('Inputs'!B24/12,'Inputs'!B25*12,'Inputs'!B19,0)*12,0)</f>
        <v>-9254.511287566987</v>
      </c>
      <c r="N35" s="81"/>
      <c r="O35" s="81">
        <f>IF(M40&gt;0,PMT('Inputs'!B24/12,'Inputs'!B25*12,'Inputs'!B19,0)*12)</f>
        <v>-9254.511287566987</v>
      </c>
      <c r="P35" s="13"/>
      <c r="Q35" s="81">
        <f>IF(O40&gt;0,PMT('Inputs'!B24/12,'Inputs'!B25*12,'Inputs'!B19,0)*12)</f>
        <v>-9254.511287566987</v>
      </c>
      <c r="R35" s="13"/>
      <c r="S35" s="81">
        <f>IF(Q40&gt;0,PMT('Inputs'!B24/12,'Inputs'!B25*12,'Inputs'!B19,0)*12,0)</f>
        <v>-9254.511287566987</v>
      </c>
      <c r="T35" s="13"/>
      <c r="U35" s="81">
        <f>IF(S40&gt;0,PMT('Inputs'!B24/12,'Inputs'!B25*12,'Inputs'!B19,0)*12,0)</f>
        <v>-9254.511287566987</v>
      </c>
      <c r="V35" s="13"/>
      <c r="W35" s="81">
        <f>IF(U40&gt;0,PMT('Inputs'!B24/12,'Inputs'!B25*12,'Inputs'!B19,0)*12,0)</f>
        <v>-9254.511287566987</v>
      </c>
      <c r="X35" s="13"/>
      <c r="Y35" s="81">
        <f>IF(W40&gt;0,PMT('Inputs'!B24/12,'Inputs'!B25*12,'Inputs'!B19,0)*12,0)</f>
        <v>-9254.511287566987</v>
      </c>
      <c r="Z35" s="13"/>
      <c r="AA35" s="81">
        <f>IF(Y40&gt;0,PMT('Inputs'!B24/12,'Inputs'!B25*12,'Inputs'!B19,0)*12,0)</f>
        <v>-9254.511287566987</v>
      </c>
      <c r="AB35" s="13"/>
      <c r="AC35" s="81">
        <f>IF(AA40&gt;0,PMT('Inputs'!B24/12,'Inputs'!B25*12,'Inputs'!B19,0)*12,0)</f>
        <v>-9254.511287566987</v>
      </c>
      <c r="AD35" s="13"/>
      <c r="AE35" s="81">
        <f>IF(AC40&gt;0,PMT('Inputs'!B24/12,'Inputs'!B25*12,'Inputs'!B19,0)*12,0)</f>
        <v>-9254.511287566987</v>
      </c>
      <c r="AF35" s="13"/>
      <c r="AG35" s="138">
        <f>IF(AE40&gt;0,PMT('Inputs'!B24/12,'Inputs'!B25*12,'Inputs'!B19,0)*12,0)</f>
        <v>-9254.511287566987</v>
      </c>
    </row>
    <row r="36" ht="16.2" customHeight="1">
      <c r="A36" s="24"/>
      <c r="B36" s="13"/>
      <c r="C36" s="134"/>
      <c r="D36" s="132"/>
      <c r="E36" s="134"/>
      <c r="F36" s="132"/>
      <c r="G36" s="134"/>
      <c r="H36" s="132"/>
      <c r="I36" s="134"/>
      <c r="J36" s="132"/>
      <c r="K36" s="134"/>
      <c r="L36" s="132"/>
      <c r="M36" s="86"/>
      <c r="N36" s="132"/>
      <c r="O36" s="134"/>
      <c r="P36" s="13"/>
      <c r="Q36" s="134"/>
      <c r="R36" s="13"/>
      <c r="S36" s="134"/>
      <c r="T36" s="13"/>
      <c r="U36" s="134"/>
      <c r="V36" s="13"/>
      <c r="W36" s="134"/>
      <c r="X36" s="13"/>
      <c r="Y36" s="134"/>
      <c r="Z36" s="13"/>
      <c r="AA36" s="134"/>
      <c r="AB36" s="13"/>
      <c r="AC36" s="134"/>
      <c r="AD36" s="13"/>
      <c r="AE36" s="134"/>
      <c r="AF36" s="13"/>
      <c r="AG36" s="135"/>
    </row>
    <row r="37" ht="18.6" customHeight="1">
      <c r="A37" t="s" s="71">
        <v>83</v>
      </c>
      <c r="B37" s="105"/>
      <c r="C37" s="139">
        <f>C33+C35</f>
        <v>5847.288712433014</v>
      </c>
      <c r="D37" s="132"/>
      <c r="E37" s="139">
        <f>E33+E35</f>
        <v>6704.880712433016</v>
      </c>
      <c r="F37" s="132"/>
      <c r="G37" s="139">
        <f>G33+G35</f>
        <v>7608.149872433012</v>
      </c>
      <c r="H37" s="132"/>
      <c r="I37" s="139">
        <f>I33+I35</f>
        <v>8559.447327233014</v>
      </c>
      <c r="J37" s="132"/>
      <c r="K37" s="139">
        <f>K33+K35</f>
        <v>9561.242787677016</v>
      </c>
      <c r="L37" s="140"/>
      <c r="M37" s="139">
        <f>M33+M35</f>
        <v>10616.130440094337</v>
      </c>
      <c r="N37" s="140"/>
      <c r="O37" s="139">
        <f>O33+O35</f>
        <v>11726.835136235779</v>
      </c>
      <c r="P37" s="13"/>
      <c r="Q37" s="139">
        <f>Q33+Q35</f>
        <v>12896.218887879259</v>
      </c>
      <c r="R37" s="13"/>
      <c r="S37" s="139">
        <f>S33+S35</f>
        <v>14127.287680964866</v>
      </c>
      <c r="T37" s="13"/>
      <c r="U37" s="139">
        <f>U33+U35</f>
        <v>15423.198624837270</v>
      </c>
      <c r="V37" s="13"/>
      <c r="W37" s="139">
        <f>W33+W35</f>
        <v>16787.267452926</v>
      </c>
      <c r="X37" s="13"/>
      <c r="Y37" s="139">
        <f>Y33+Y35</f>
        <v>18222.9763919821</v>
      </c>
      <c r="Z37" s="13"/>
      <c r="AA37" s="139">
        <f>AA33+AA35</f>
        <v>19733.982417816151</v>
      </c>
      <c r="AB37" s="13"/>
      <c r="AC37" s="139">
        <f>AC33+AC35</f>
        <v>21324.125916347664</v>
      </c>
      <c r="AD37" s="13"/>
      <c r="AE37" s="139">
        <f>AE33+AE35</f>
        <v>22997.439769682685</v>
      </c>
      <c r="AF37" s="13"/>
      <c r="AG37" s="141">
        <f>AG33+AG35</f>
        <v>24758.158887886457</v>
      </c>
    </row>
    <row r="38" ht="15" customHeight="1">
      <c r="A38" s="24"/>
      <c r="B38" s="13"/>
      <c r="C38" s="142"/>
      <c r="D38" s="132"/>
      <c r="E38" s="142"/>
      <c r="F38" s="132"/>
      <c r="G38" s="142"/>
      <c r="H38" s="132"/>
      <c r="I38" s="142"/>
      <c r="J38" s="132"/>
      <c r="K38" s="142"/>
      <c r="L38" s="132"/>
      <c r="M38" s="142"/>
      <c r="N38" s="132"/>
      <c r="O38" s="142"/>
      <c r="P38" s="13"/>
      <c r="Q38" s="142"/>
      <c r="R38" s="13"/>
      <c r="S38" s="142"/>
      <c r="T38" s="13"/>
      <c r="U38" s="142"/>
      <c r="V38" s="13"/>
      <c r="W38" s="142"/>
      <c r="X38" s="13"/>
      <c r="Y38" s="142"/>
      <c r="Z38" s="13"/>
      <c r="AA38" s="142"/>
      <c r="AB38" s="13"/>
      <c r="AC38" s="142"/>
      <c r="AD38" s="13"/>
      <c r="AE38" s="142"/>
      <c r="AF38" s="13"/>
      <c r="AG38" s="143"/>
    </row>
    <row r="39" ht="15.6" customHeight="1">
      <c r="A39" t="s" s="50">
        <v>107</v>
      </c>
      <c r="B39" s="13"/>
      <c r="C39" s="81">
        <f>'Inputs'!B15*(1+'Inputs'!B39)</f>
        <v>212000</v>
      </c>
      <c r="D39" s="81"/>
      <c r="E39" s="81">
        <f>C39*(1+'Inputs'!$B$39)</f>
        <v>224720</v>
      </c>
      <c r="F39" s="81"/>
      <c r="G39" s="81">
        <f>E39*(1+'Inputs'!$B$39)</f>
        <v>238203.2</v>
      </c>
      <c r="H39" s="81"/>
      <c r="I39" s="81">
        <f>G39*(1+'Inputs'!$B$39)</f>
        <v>252495.392</v>
      </c>
      <c r="J39" s="81"/>
      <c r="K39" s="81">
        <f>I39*(1+'Inputs'!$B$39)</f>
        <v>267645.1155200001</v>
      </c>
      <c r="L39" s="81"/>
      <c r="M39" s="81">
        <f>K39*(1+'Inputs'!$B$39)</f>
        <v>283703.8224512</v>
      </c>
      <c r="N39" s="81"/>
      <c r="O39" s="81">
        <f>M39*(1+'Inputs'!$B$39)</f>
        <v>300726.0517982721</v>
      </c>
      <c r="P39" s="13"/>
      <c r="Q39" s="81">
        <f>O39*(1+'Inputs'!$B$39)</f>
        <v>318769.6149061684</v>
      </c>
      <c r="R39" s="13"/>
      <c r="S39" s="81">
        <f>Q39*(1+'Inputs'!$B$39)</f>
        <v>337895.7918005385</v>
      </c>
      <c r="T39" s="13"/>
      <c r="U39" s="81">
        <f>S39*(1+'Inputs'!$B$39)</f>
        <v>358169.5393085708</v>
      </c>
      <c r="V39" s="13"/>
      <c r="W39" s="81">
        <f>U39*(1+'Inputs'!$B$39)</f>
        <v>379659.7116670851</v>
      </c>
      <c r="X39" s="13"/>
      <c r="Y39" s="81">
        <f>W39*(1+'Inputs'!$B$39)</f>
        <v>402439.2943671102</v>
      </c>
      <c r="Z39" s="13"/>
      <c r="AA39" s="81">
        <f>Y39*(1+'Inputs'!$B$39)</f>
        <v>426585.6520291369</v>
      </c>
      <c r="AB39" s="13"/>
      <c r="AC39" s="81">
        <f>AA39*(1+'Inputs'!$B$39)</f>
        <v>452180.7911508851</v>
      </c>
      <c r="AD39" s="13"/>
      <c r="AE39" s="81">
        <f>AC39*(1+'Inputs'!$B$39)</f>
        <v>479311.6386199382</v>
      </c>
      <c r="AF39" s="13"/>
      <c r="AG39" s="138">
        <f>AE39*(1+'Inputs'!$B$39)</f>
        <v>508070.3369371346</v>
      </c>
    </row>
    <row r="40" ht="15.6" customHeight="1">
      <c r="A40" t="s" s="50">
        <v>108</v>
      </c>
      <c r="B40" s="13"/>
      <c r="C40" s="144">
        <f>'Inputs'!B19+CUMPRINC('Inputs'!$B$24/12,'Inputs'!B25*12,'Inputs'!$B$19,1,12,0)</f>
        <v>147633.2363926253</v>
      </c>
      <c r="D40" s="81"/>
      <c r="E40" s="145">
        <f>C40+CUMPRINC('Inputs'!$B$24/12,'Inputs'!B25*12,'Inputs'!$B$19,13,24,0)</f>
        <v>145154.6595141411</v>
      </c>
      <c r="F40" s="81"/>
      <c r="G40" s="144">
        <f>E40+CUMPRINC('Inputs'!$B$24/12,'Inputs'!B25*12,'Inputs'!$B$19,25,36,0)</f>
        <v>142558.9869579916</v>
      </c>
      <c r="H40" s="81"/>
      <c r="I40" s="145">
        <f>G40+CUMPRINC('Inputs'!$B$24/12,'Inputs'!B25*12,'Inputs'!$B$19,37,48,0)</f>
        <v>139840.6867603118</v>
      </c>
      <c r="J40" s="81"/>
      <c r="K40" s="144">
        <f>I40+CUMPRINC('Inputs'!$B$24/12,'Inputs'!B25*12,'Inputs'!$B$19,49,60,0)</f>
        <v>136993.9656100651</v>
      </c>
      <c r="L40" s="81"/>
      <c r="M40" s="145">
        <f>K40+CUMPRINC('Inputs'!$B$24/12,'Inputs'!B25*12,'Inputs'!$B$19,61,72,0)</f>
        <v>134012.75650219</v>
      </c>
      <c r="N40" s="81"/>
      <c r="O40" s="144">
        <f>M40+CUMPRINC('Inputs'!$B$24/12,'Inputs'!B25*12,'Inputs'!$B$19,73,84,0)</f>
        <v>130890.7058074432</v>
      </c>
      <c r="P40" s="13"/>
      <c r="Q40" s="145">
        <f>O40+CUMPRINC('Inputs'!$B$24/12,'Inputs'!B25*12,'Inputs'!$B$19,85,96,0)</f>
        <v>127621.1597313828</v>
      </c>
      <c r="R40" s="13"/>
      <c r="S40" s="144">
        <f>Q40+CUMPRINC('Inputs'!$B$24/12,'Inputs'!B25*12,'Inputs'!$B$19,97,108,0)</f>
        <v>124197.1501336306</v>
      </c>
      <c r="T40" s="13"/>
      <c r="U40" s="145">
        <f>S40+CUMPRINC('Inputs'!$B$24/12,'Inputs'!B25*12,'Inputs'!$B$19,109,120,0)</f>
        <v>120611.3796771928</v>
      </c>
      <c r="V40" s="13"/>
      <c r="W40" s="144">
        <f>U40+CUMPRINC('Inputs'!$B$24/12,'Inputs'!B25*12,'Inputs'!$B$19,121,132,0)</f>
        <v>116856.2062761888</v>
      </c>
      <c r="X40" s="13"/>
      <c r="Y40" s="145">
        <f>W40+CUMPRINC('Inputs'!$B$24/12,'Inputs'!B25*12,'Inputs'!$B$19,133,144,0)</f>
        <v>112923.6268088413</v>
      </c>
      <c r="Z40" s="13"/>
      <c r="AA40" s="144">
        <f>Y40+CUMPRINC('Inputs'!$B$24/12,'Inputs'!B25*12,'Inputs'!$B$19,145,156,0)</f>
        <v>108805.2600610187</v>
      </c>
      <c r="AB40" s="13"/>
      <c r="AC40" s="145">
        <f>AA40+CUMPRINC('Inputs'!$B$24/12,'Inputs'!B25*12,'Inputs'!$B$19,158,169,0)</f>
        <v>104475.7061083211</v>
      </c>
      <c r="AD40" s="13"/>
      <c r="AE40" s="144">
        <f>AC40+CUMPRINC('Inputs'!$B$24/12,'Inputs'!B25*12,'Inputs'!$B$19,169,180,0)</f>
        <v>99959.018632574705</v>
      </c>
      <c r="AF40" s="13"/>
      <c r="AG40" s="146">
        <v>0</v>
      </c>
    </row>
    <row r="41" ht="16.2" customHeight="1">
      <c r="A41" t="s" s="50">
        <v>109</v>
      </c>
      <c r="B41" s="13"/>
      <c r="C41" s="147">
        <f>C39-C40</f>
        <v>64366.763607374742</v>
      </c>
      <c r="D41" s="81"/>
      <c r="E41" s="147">
        <f>E39-E40</f>
        <v>79565.340485858876</v>
      </c>
      <c r="F41" s="81"/>
      <c r="G41" s="147">
        <f>G39-G40</f>
        <v>95644.213042008429</v>
      </c>
      <c r="H41" s="81"/>
      <c r="I41" s="147">
        <f>I39-I40</f>
        <v>112654.7052396882</v>
      </c>
      <c r="J41" s="81"/>
      <c r="K41" s="147">
        <f>K39-K40</f>
        <v>130651.1499099349</v>
      </c>
      <c r="L41" s="81"/>
      <c r="M41" s="147">
        <f>M39-M40</f>
        <v>149691.0659490101</v>
      </c>
      <c r="N41" s="81"/>
      <c r="O41" s="147">
        <f>O39-O40</f>
        <v>169835.3459908289</v>
      </c>
      <c r="P41" s="13"/>
      <c r="Q41" s="147">
        <f>Q39-Q40</f>
        <v>191148.4551747856</v>
      </c>
      <c r="R41" s="13"/>
      <c r="S41" s="147">
        <f>S39-S40</f>
        <v>213698.641666908</v>
      </c>
      <c r="T41" s="13"/>
      <c r="U41" s="147">
        <f>U39-U40</f>
        <v>237558.159631378</v>
      </c>
      <c r="V41" s="13"/>
      <c r="W41" s="147">
        <f>W39-W40</f>
        <v>262803.5053908963</v>
      </c>
      <c r="X41" s="13"/>
      <c r="Y41" s="147">
        <f>Y39-Y40</f>
        <v>289515.6675582689</v>
      </c>
      <c r="Z41" s="13"/>
      <c r="AA41" s="147">
        <f>AA39-AA40</f>
        <v>317780.3919681182</v>
      </c>
      <c r="AB41" s="13"/>
      <c r="AC41" s="147">
        <f>AC39-AC40</f>
        <v>347705.085042564</v>
      </c>
      <c r="AD41" s="13"/>
      <c r="AE41" s="147">
        <f>AE39-AE40</f>
        <v>379352.6199873635</v>
      </c>
      <c r="AF41" s="13"/>
      <c r="AG41" s="148">
        <f>AG39-AG40</f>
        <v>508070.3369371346</v>
      </c>
    </row>
    <row r="42" ht="18.6" customHeight="1">
      <c r="A42" t="s" s="25">
        <v>110</v>
      </c>
      <c r="B42" s="13"/>
      <c r="C42" s="149">
        <f>C41+C37</f>
        <v>70214.052319807757</v>
      </c>
      <c r="D42" s="81"/>
      <c r="E42" s="149">
        <f>E41+E37</f>
        <v>86270.2211982919</v>
      </c>
      <c r="F42" s="81"/>
      <c r="G42" s="149">
        <f>G41+G37</f>
        <v>103252.3629144414</v>
      </c>
      <c r="H42" s="81"/>
      <c r="I42" s="149">
        <f>I41+I37</f>
        <v>121214.1525669212</v>
      </c>
      <c r="J42" s="81"/>
      <c r="K42" s="149">
        <f>K41+K37</f>
        <v>140212.3926976119</v>
      </c>
      <c r="L42" s="140"/>
      <c r="M42" s="149">
        <f>M41+M37</f>
        <v>160307.1963891044</v>
      </c>
      <c r="N42" s="140"/>
      <c r="O42" s="149">
        <f>O41+O37</f>
        <v>181562.1811270647</v>
      </c>
      <c r="P42" s="13"/>
      <c r="Q42" s="149">
        <f>Q41+Q37</f>
        <v>204044.6740626649</v>
      </c>
      <c r="R42" s="13"/>
      <c r="S42" s="149">
        <f>S41+S37</f>
        <v>227825.9293478729</v>
      </c>
      <c r="T42" s="13"/>
      <c r="U42" s="149">
        <f>U41+U37</f>
        <v>252981.3582562153</v>
      </c>
      <c r="V42" s="13"/>
      <c r="W42" s="149">
        <f>W41+W37</f>
        <v>279590.7728438224</v>
      </c>
      <c r="X42" s="13"/>
      <c r="Y42" s="149">
        <f>Y41+Y37</f>
        <v>307738.643950251</v>
      </c>
      <c r="Z42" s="13"/>
      <c r="AA42" s="149">
        <f>AA41+AA37</f>
        <v>337514.3743859343</v>
      </c>
      <c r="AB42" s="13"/>
      <c r="AC42" s="149">
        <f>AC41+AC37</f>
        <v>369029.2109589116</v>
      </c>
      <c r="AD42" s="13"/>
      <c r="AE42" s="149">
        <f>AE41+AE37</f>
        <v>402350.0597570462</v>
      </c>
      <c r="AF42" s="13"/>
      <c r="AG42" s="150">
        <f>AG41+AG37</f>
        <v>532828.4958250211</v>
      </c>
    </row>
    <row r="43" ht="16.2" customHeight="1" hidden="1">
      <c r="A43" t="s" s="25">
        <v>111</v>
      </c>
      <c r="B43" s="13"/>
      <c r="C43" s="151">
        <f t="shared" si="430" ref="C43:AG43">$I$7</f>
        <v>52567</v>
      </c>
      <c r="D43" s="81"/>
      <c r="E43" s="151">
        <f t="shared" si="430"/>
        <v>52567</v>
      </c>
      <c r="F43" s="81"/>
      <c r="G43" s="151">
        <f t="shared" si="430"/>
        <v>52567</v>
      </c>
      <c r="H43" s="81"/>
      <c r="I43" s="151">
        <f t="shared" si="430"/>
        <v>52567</v>
      </c>
      <c r="J43" s="81"/>
      <c r="K43" s="151">
        <f t="shared" si="430"/>
        <v>52567</v>
      </c>
      <c r="L43" s="81"/>
      <c r="M43" s="151">
        <f t="shared" si="430"/>
        <v>52567</v>
      </c>
      <c r="N43" s="81"/>
      <c r="O43" s="151">
        <f t="shared" si="430"/>
        <v>52567</v>
      </c>
      <c r="P43" s="13"/>
      <c r="Q43" s="151">
        <f t="shared" si="430"/>
        <v>52567</v>
      </c>
      <c r="R43" s="13"/>
      <c r="S43" s="151">
        <f t="shared" si="430"/>
        <v>52567</v>
      </c>
      <c r="T43" s="13"/>
      <c r="U43" s="151">
        <f t="shared" si="430"/>
        <v>52567</v>
      </c>
      <c r="V43" s="13"/>
      <c r="W43" s="151">
        <f t="shared" si="430"/>
        <v>52567</v>
      </c>
      <c r="X43" s="13"/>
      <c r="Y43" s="151">
        <f t="shared" si="430"/>
        <v>52567</v>
      </c>
      <c r="Z43" s="13"/>
      <c r="AA43" s="151">
        <f t="shared" si="430"/>
        <v>52567</v>
      </c>
      <c r="AB43" s="13"/>
      <c r="AC43" s="151">
        <f t="shared" si="430"/>
        <v>52567</v>
      </c>
      <c r="AD43" s="13"/>
      <c r="AE43" s="151">
        <f t="shared" si="430"/>
        <v>52567</v>
      </c>
      <c r="AF43" s="13"/>
      <c r="AG43" s="152">
        <f t="shared" si="430"/>
        <v>52567</v>
      </c>
    </row>
    <row r="44" ht="16.2" customHeight="1">
      <c r="A44" t="s" s="25">
        <v>112</v>
      </c>
      <c r="B44" s="13"/>
      <c r="C44" s="153">
        <f>(C41-C43+C37)/I7</f>
        <v>0.3357059052220548</v>
      </c>
      <c r="D44" s="81"/>
      <c r="E44" s="153">
        <f>(E41-C41+E37)/$I$7</f>
        <v>0.4166769568534851</v>
      </c>
      <c r="F44" s="81"/>
      <c r="G44" s="153">
        <f>(G41-E41+G37)/$I$7</f>
        <v>0.4506063200978287</v>
      </c>
      <c r="H44" s="81"/>
      <c r="I44" s="153">
        <f>(I41-G41+I37)/$I$7</f>
        <v>0.4864256953014777</v>
      </c>
      <c r="J44" s="81"/>
      <c r="K44" s="153">
        <f>(K41-I41+K37)/$I$7</f>
        <v>0.5242393033257314</v>
      </c>
      <c r="L44" s="153"/>
      <c r="M44" s="153">
        <f>(M41-K41+M37)/$I$7</f>
        <v>0.5641571038706701</v>
      </c>
      <c r="N44" s="153"/>
      <c r="O44" s="153">
        <f>(O41-M41+O37)/$I$7</f>
        <v>0.6062951124860574</v>
      </c>
      <c r="P44" s="13"/>
      <c r="Q44" s="153">
        <f>(Q41-O41+Q37)/$I$7</f>
        <v>0.6507757351919647</v>
      </c>
      <c r="R44" s="13"/>
      <c r="S44" s="153">
        <f>(S41-Q41+S37)/$I$7</f>
        <v>0.6977281216939758</v>
      </c>
      <c r="T44" s="13"/>
      <c r="U44" s="153">
        <f>(U41-S41+U37)/$I$7</f>
        <v>0.7472885382332508</v>
      </c>
      <c r="V44" s="13"/>
      <c r="W44" s="153">
        <f>(W41-U41+W37)/$I$7</f>
        <v>0.7996007611703984</v>
      </c>
      <c r="X44" s="13"/>
      <c r="Y44" s="153">
        <f>(Y41-W41+Y37)/$I$7</f>
        <v>0.8548164924639924</v>
      </c>
      <c r="Z44" s="13"/>
      <c r="AA44" s="153">
        <f>(AA41-Y41+AA37)/$I$7</f>
        <v>0.9130957982701203</v>
      </c>
      <c r="AB44" s="13"/>
      <c r="AC44" s="153">
        <f>(AC41-AA41+AC37)/$I$7</f>
        <v>0.9749237923182497</v>
      </c>
      <c r="AD44" s="13"/>
      <c r="AE44" s="153">
        <f>(AE41-AC41+AE37)/$I$7</f>
        <v>1.039530022913277</v>
      </c>
      <c r="AF44" s="13"/>
      <c r="AG44" s="154">
        <f>(AG41-AE41+AG37)/$I$7</f>
        <v>2.919624019587526</v>
      </c>
    </row>
    <row r="45" ht="15.6" customHeight="1">
      <c r="A45" s="24"/>
      <c r="B45" s="13"/>
      <c r="C45" s="155"/>
      <c r="D45" s="81"/>
      <c r="E45" s="155"/>
      <c r="F45" s="81"/>
      <c r="G45" s="155"/>
      <c r="H45" s="81"/>
      <c r="I45" s="155"/>
      <c r="J45" s="81"/>
      <c r="K45" s="155"/>
      <c r="L45" s="155"/>
      <c r="M45" s="155"/>
      <c r="N45" s="155"/>
      <c r="O45" s="155"/>
      <c r="P45" s="13"/>
      <c r="Q45" s="155"/>
      <c r="R45" s="13"/>
      <c r="S45" s="155"/>
      <c r="T45" s="13"/>
      <c r="U45" s="155"/>
      <c r="V45" s="13"/>
      <c r="W45" s="155"/>
      <c r="X45" s="13"/>
      <c r="Y45" s="155"/>
      <c r="Z45" s="13"/>
      <c r="AA45" s="155"/>
      <c r="AB45" s="13"/>
      <c r="AC45" s="155"/>
      <c r="AD45" s="13"/>
      <c r="AE45" s="155"/>
      <c r="AF45" s="13"/>
      <c r="AG45" s="156"/>
    </row>
    <row r="46" ht="16.2" customHeight="1">
      <c r="A46" t="s" s="25">
        <v>113</v>
      </c>
      <c r="B46" s="13"/>
      <c r="C46" s="157">
        <f>C37</f>
        <v>5847.288712433014</v>
      </c>
      <c r="D46" s="158"/>
      <c r="E46" s="157">
        <f>E37+C46</f>
        <v>12552.169424866030</v>
      </c>
      <c r="F46" s="158"/>
      <c r="G46" s="157">
        <f>G37+E46</f>
        <v>20160.319297299044</v>
      </c>
      <c r="H46" s="158"/>
      <c r="I46" s="157">
        <f>I37+G46</f>
        <v>28719.766624532058</v>
      </c>
      <c r="J46" s="158"/>
      <c r="K46" s="157">
        <f>K37+I46</f>
        <v>38281.009412209074</v>
      </c>
      <c r="L46" s="158"/>
      <c r="M46" s="157">
        <f>M37+K46</f>
        <v>48897.139852303415</v>
      </c>
      <c r="N46" s="158"/>
      <c r="O46" s="157">
        <f>O37+M46</f>
        <v>60623.974988539194</v>
      </c>
      <c r="P46" s="13"/>
      <c r="Q46" s="157">
        <f>Q37+O46</f>
        <v>73520.193876418460</v>
      </c>
      <c r="R46" s="13"/>
      <c r="S46" s="157">
        <f>S37+Q46</f>
        <v>87647.481557383318</v>
      </c>
      <c r="T46" s="13"/>
      <c r="U46" s="157">
        <f>U37+S46</f>
        <v>103070.6801822206</v>
      </c>
      <c r="V46" s="13"/>
      <c r="W46" s="157">
        <f>W37+U46</f>
        <v>119857.9476351466</v>
      </c>
      <c r="X46" s="13"/>
      <c r="Y46" s="157">
        <f>Y37+W46</f>
        <v>138080.9240271287</v>
      </c>
      <c r="Z46" s="13"/>
      <c r="AA46" s="157">
        <f>AA37+Y46</f>
        <v>157814.9064449448</v>
      </c>
      <c r="AB46" s="13"/>
      <c r="AC46" s="157">
        <f>AC37+AA46</f>
        <v>179139.0323612925</v>
      </c>
      <c r="AD46" s="13"/>
      <c r="AE46" s="157">
        <f>AE37+AC46</f>
        <v>202136.4721309752</v>
      </c>
      <c r="AF46" s="13"/>
      <c r="AG46" s="159">
        <f>AG37+AE46</f>
        <v>226894.6310188616</v>
      </c>
    </row>
    <row r="47" ht="16.2" customHeight="1">
      <c r="A47" t="s" s="25">
        <v>114</v>
      </c>
      <c r="B47" s="13"/>
      <c r="C47" s="160">
        <f>C46/$I$7</f>
        <v>0.1112349708454546</v>
      </c>
      <c r="D47" s="161"/>
      <c r="E47" s="160">
        <f>E46/$I$7</f>
        <v>0.2387842072948053</v>
      </c>
      <c r="F47" s="161"/>
      <c r="G47" s="160">
        <f>G46/$I$7</f>
        <v>0.3835166415678856</v>
      </c>
      <c r="H47" s="161"/>
      <c r="I47" s="160">
        <f>I46/$I$7</f>
        <v>0.546345932325072</v>
      </c>
      <c r="J47" s="161"/>
      <c r="K47" s="160">
        <f>K46/$I$7</f>
        <v>0.7282327203798785</v>
      </c>
      <c r="L47" s="162"/>
      <c r="M47" s="160">
        <f>M46/$I$7</f>
        <v>0.9301869966386405</v>
      </c>
      <c r="N47" s="162"/>
      <c r="O47" s="160">
        <f>O46/$I$7</f>
        <v>1.153270587793467</v>
      </c>
      <c r="P47" s="13"/>
      <c r="Q47" s="160">
        <f>Q46/$I$7</f>
        <v>1.398599765564298</v>
      </c>
      <c r="R47" s="13"/>
      <c r="S47" s="160">
        <f>S46/$I$7</f>
        <v>1.667347985568576</v>
      </c>
      <c r="T47" s="13"/>
      <c r="U47" s="160">
        <f>U46/$I$7</f>
        <v>1.960748762193403</v>
      </c>
      <c r="V47" s="13"/>
      <c r="W47" s="160">
        <f>W46/$I$7</f>
        <v>2.280098686155698</v>
      </c>
      <c r="X47" s="13"/>
      <c r="Y47" s="160">
        <f>Y46/$I$7</f>
        <v>2.626760591761536</v>
      </c>
      <c r="Z47" s="13"/>
      <c r="AA47" s="160">
        <f>AA46/$I$7</f>
        <v>3.002166881217205</v>
      </c>
      <c r="AB47" s="13"/>
      <c r="AC47" s="160">
        <f>AC46/$I$7</f>
        <v>3.40782301370237</v>
      </c>
      <c r="AD47" s="13"/>
      <c r="AE47" s="160">
        <f>AE46/$I$7</f>
        <v>3.845311167290794</v>
      </c>
      <c r="AF47" s="13"/>
      <c r="AG47" s="163">
        <f>AG46/$I$7</f>
        <v>4.316294082197227</v>
      </c>
    </row>
    <row r="48" ht="15.6" customHeight="1">
      <c r="A48" s="24"/>
      <c r="B48" s="13"/>
      <c r="C48" s="162"/>
      <c r="D48" s="161"/>
      <c r="E48" s="162"/>
      <c r="F48" s="161"/>
      <c r="G48" s="162"/>
      <c r="H48" s="161"/>
      <c r="I48" s="162"/>
      <c r="J48" s="161"/>
      <c r="K48" s="162"/>
      <c r="L48" s="162"/>
      <c r="M48" s="162"/>
      <c r="N48" s="162"/>
      <c r="O48" s="162"/>
      <c r="P48" s="13"/>
      <c r="Q48" s="162"/>
      <c r="R48" s="13"/>
      <c r="S48" s="162"/>
      <c r="T48" s="13"/>
      <c r="U48" s="162"/>
      <c r="V48" s="13"/>
      <c r="W48" s="162"/>
      <c r="X48" s="13"/>
      <c r="Y48" s="162"/>
      <c r="Z48" s="13"/>
      <c r="AA48" s="162"/>
      <c r="AB48" s="13"/>
      <c r="AC48" s="162"/>
      <c r="AD48" s="13"/>
      <c r="AE48" s="162"/>
      <c r="AF48" s="13"/>
      <c r="AG48" s="164"/>
    </row>
    <row r="49" ht="16.2" customHeight="1">
      <c r="A49" t="s" s="25">
        <v>115</v>
      </c>
      <c r="B49" s="13"/>
      <c r="C49" s="157">
        <f>C41-C43+C37</f>
        <v>17647.052319807757</v>
      </c>
      <c r="D49" s="161"/>
      <c r="E49" s="157">
        <f>E41-E43+E37+C37</f>
        <v>39550.509910724912</v>
      </c>
      <c r="F49" s="158"/>
      <c r="G49" s="157">
        <f>G41-G43+G37+E37+C37</f>
        <v>63237.532339307480</v>
      </c>
      <c r="H49" s="158"/>
      <c r="I49" s="157">
        <f>I41-I43+I37+G37+E37+C37</f>
        <v>88807.471864220250</v>
      </c>
      <c r="J49" s="158"/>
      <c r="K49" s="157">
        <f>K41-K43+K37+I37+G37+E37+C37</f>
        <v>116365.159322144</v>
      </c>
      <c r="L49" s="158"/>
      <c r="M49" s="157">
        <f>M41-M43+M37+K37+I37+G37+E37</f>
        <v>140173.9170888805</v>
      </c>
      <c r="N49" s="158"/>
      <c r="O49" s="157">
        <f>O41-O43+O37+M37+K37+I37+G37</f>
        <v>165340.151554502</v>
      </c>
      <c r="P49" s="13"/>
      <c r="Q49" s="157">
        <f>Q41-Q43+Q37+O37+M37+K37+I37</f>
        <v>191941.329753905</v>
      </c>
      <c r="R49" s="13"/>
      <c r="S49" s="157">
        <f>S41-S43+S37+Q37+O37+M37+K37</f>
        <v>220059.3565997592</v>
      </c>
      <c r="T49" s="13"/>
      <c r="U49" s="157">
        <f>U41-U43+U37+S37+Q37+O37+M37</f>
        <v>249780.8304013895</v>
      </c>
      <c r="V49" s="13"/>
      <c r="W49" s="157">
        <f>W41-W43+W37+U37+S37+Q37+O37</f>
        <v>281197.3131737395</v>
      </c>
      <c r="X49" s="13"/>
      <c r="Y49" s="157">
        <f>Y41-Y43+Y37+W37+U37+S37+Q37</f>
        <v>314405.6165968585</v>
      </c>
      <c r="Z49" s="13"/>
      <c r="AA49" s="157">
        <f>AA41-AA43+AA37+Y37+W37+U37+S37</f>
        <v>349508.1045366446</v>
      </c>
      <c r="AB49" s="13"/>
      <c r="AC49" s="157">
        <f>AC41-AC43+AC37+AA37+Y37+W37+U37</f>
        <v>386629.6358464732</v>
      </c>
      <c r="AD49" s="13"/>
      <c r="AE49" s="157">
        <f>AE41-AE43+AE37+AC37+AA37+Y37+W37</f>
        <v>425851.4119361182</v>
      </c>
      <c r="AF49" s="13"/>
      <c r="AG49" s="159">
        <f>AG41-AG43+AG37+AE37+AC37+AA37+Y37</f>
        <v>562540.0203208496</v>
      </c>
    </row>
    <row r="50" ht="16.2" customHeight="1">
      <c r="A50" t="s" s="25">
        <v>116</v>
      </c>
      <c r="B50" s="13"/>
      <c r="C50" s="160">
        <f>C49/$I$7</f>
        <v>0.3357059052220548</v>
      </c>
      <c r="D50" s="161"/>
      <c r="E50" s="160">
        <f>E49/$I$7</f>
        <v>0.7523828620755401</v>
      </c>
      <c r="F50" s="161"/>
      <c r="G50" s="160">
        <f>G49/$I$7</f>
        <v>1.202989182173369</v>
      </c>
      <c r="H50" s="161"/>
      <c r="I50" s="160">
        <f>I49/$I$7</f>
        <v>1.689414877474846</v>
      </c>
      <c r="J50" s="161"/>
      <c r="K50" s="160">
        <f>K49/$I$7</f>
        <v>2.213654180800578</v>
      </c>
      <c r="L50" s="162"/>
      <c r="M50" s="160">
        <f>M49/$I$7</f>
        <v>2.666576313825793</v>
      </c>
      <c r="N50" s="162"/>
      <c r="O50" s="160">
        <f>O49/$I$7</f>
        <v>3.1453221898625</v>
      </c>
      <c r="P50" s="13"/>
      <c r="Q50" s="160">
        <f>Q49/$I$7</f>
        <v>3.651365490781384</v>
      </c>
      <c r="R50" s="13"/>
      <c r="S50" s="160">
        <f>S49/$I$7</f>
        <v>4.186264321718173</v>
      </c>
      <c r="T50" s="13"/>
      <c r="U50" s="160">
        <f>U49/$I$7</f>
        <v>4.751666071896618</v>
      </c>
      <c r="V50" s="13"/>
      <c r="W50" s="160">
        <f>W49/$I$7</f>
        <v>5.349312556808254</v>
      </c>
      <c r="X50" s="13"/>
      <c r="Y50" s="160">
        <f>Y49/$I$7</f>
        <v>5.981045458117421</v>
      </c>
      <c r="Z50" s="13"/>
      <c r="AA50" s="160">
        <f>AA49/$I$7</f>
        <v>6.64881207861671</v>
      </c>
      <c r="AB50" s="13"/>
      <c r="AC50" s="160">
        <f>AC49/$I$7</f>
        <v>7.354987650930682</v>
      </c>
      <c r="AD50" s="13"/>
      <c r="AE50" s="160">
        <f>AE49/$I$7</f>
        <v>8.101116897219134</v>
      </c>
      <c r="AF50" s="13"/>
      <c r="AG50" s="163">
        <f>AG49/$I$7</f>
        <v>10.70139099284436</v>
      </c>
    </row>
    <row r="51" ht="15" customHeight="1">
      <c r="A51" s="24"/>
      <c r="B51" s="13"/>
      <c r="C51" s="165"/>
      <c r="D51" s="132"/>
      <c r="E51" s="165"/>
      <c r="F51" s="132"/>
      <c r="G51" s="165"/>
      <c r="H51" s="132"/>
      <c r="I51" s="165"/>
      <c r="J51" s="132"/>
      <c r="K51" s="165"/>
      <c r="L51" s="165"/>
      <c r="M51" s="165"/>
      <c r="N51" s="165"/>
      <c r="O51" s="165"/>
      <c r="P51" s="13"/>
      <c r="Q51" s="165"/>
      <c r="R51" s="13"/>
      <c r="S51" s="165"/>
      <c r="T51" s="13"/>
      <c r="U51" s="165"/>
      <c r="V51" s="13"/>
      <c r="W51" s="165"/>
      <c r="X51" s="13"/>
      <c r="Y51" s="165"/>
      <c r="Z51" s="13"/>
      <c r="AA51" s="165"/>
      <c r="AB51" s="13"/>
      <c r="AC51" s="165"/>
      <c r="AD51" s="13"/>
      <c r="AE51" s="165"/>
      <c r="AF51" s="13"/>
      <c r="AG51" s="166"/>
    </row>
    <row r="52" ht="15.75" customHeight="1">
      <c r="A52" s="24"/>
      <c r="B52" s="13"/>
      <c r="C52" s="167"/>
      <c r="D52" s="168"/>
      <c r="E52" s="167"/>
      <c r="F52" s="13"/>
      <c r="G52" s="167"/>
      <c r="H52" s="13"/>
      <c r="I52" s="167"/>
      <c r="J52" s="13"/>
      <c r="K52" s="167"/>
      <c r="L52" s="13"/>
      <c r="M52" s="13"/>
      <c r="N52" s="13"/>
      <c r="O52" s="13"/>
      <c r="P52" s="13"/>
      <c r="Q52" s="13"/>
      <c r="R52" s="13"/>
      <c r="S52" s="13"/>
      <c r="T52" s="13"/>
      <c r="U52" s="13"/>
      <c r="V52" s="13"/>
      <c r="W52" s="13"/>
      <c r="X52" s="13"/>
      <c r="Y52" s="13"/>
      <c r="Z52" s="13"/>
      <c r="AA52" s="13"/>
      <c r="AB52" s="13"/>
      <c r="AC52" s="13"/>
      <c r="AD52" s="13"/>
      <c r="AE52" s="13"/>
      <c r="AF52" s="13"/>
      <c r="AG52" s="68"/>
    </row>
    <row r="53" ht="19.5" customHeight="1">
      <c r="A53" t="s" s="119">
        <f>'Inputs'!A67</f>
        <v>90</v>
      </c>
      <c r="B53" s="120"/>
      <c r="C53" s="120"/>
      <c r="D53" s="120"/>
      <c r="E53" s="120"/>
      <c r="F53" s="120"/>
      <c r="G53" s="120"/>
      <c r="H53" s="120"/>
      <c r="I53" s="120"/>
      <c r="J53" s="120"/>
      <c r="K53" s="120"/>
      <c r="L53" s="120"/>
      <c r="M53" s="13"/>
      <c r="N53" s="13"/>
      <c r="O53" s="13"/>
      <c r="P53" s="13"/>
      <c r="Q53" s="13"/>
      <c r="R53" s="13"/>
      <c r="S53" s="13"/>
      <c r="T53" s="13"/>
      <c r="U53" s="13"/>
      <c r="V53" s="13"/>
      <c r="W53" s="13"/>
      <c r="X53" s="13"/>
      <c r="Y53" s="13"/>
      <c r="Z53" s="13"/>
      <c r="AA53" s="13"/>
      <c r="AB53" s="13"/>
      <c r="AC53" s="13"/>
      <c r="AD53" s="13"/>
      <c r="AE53" s="13"/>
      <c r="AF53" s="13"/>
      <c r="AG53" s="68"/>
    </row>
    <row r="54" ht="15" customHeight="1">
      <c r="A54" s="123"/>
      <c r="B54" s="120"/>
      <c r="C54" s="120"/>
      <c r="D54" s="120"/>
      <c r="E54" s="120"/>
      <c r="F54" s="120"/>
      <c r="G54" s="120"/>
      <c r="H54" s="120"/>
      <c r="I54" s="120"/>
      <c r="J54" s="120"/>
      <c r="K54" s="120"/>
      <c r="L54" s="120"/>
      <c r="M54" s="13"/>
      <c r="N54" s="13"/>
      <c r="O54" s="13"/>
      <c r="P54" s="13"/>
      <c r="Q54" s="13"/>
      <c r="R54" s="13"/>
      <c r="S54" s="13"/>
      <c r="T54" s="13"/>
      <c r="U54" s="13"/>
      <c r="V54" s="13"/>
      <c r="W54" s="13"/>
      <c r="X54" s="13"/>
      <c r="Y54" s="13"/>
      <c r="Z54" s="13"/>
      <c r="AA54" s="13"/>
      <c r="AB54" s="13"/>
      <c r="AC54" s="13"/>
      <c r="AD54" s="13"/>
      <c r="AE54" s="13"/>
      <c r="AF54" s="13"/>
      <c r="AG54" s="68"/>
    </row>
    <row r="55" ht="15" customHeight="1">
      <c r="A55" s="123"/>
      <c r="B55" s="120"/>
      <c r="C55" s="120"/>
      <c r="D55" s="120"/>
      <c r="E55" s="120"/>
      <c r="F55" s="120"/>
      <c r="G55" s="120"/>
      <c r="H55" s="120"/>
      <c r="I55" s="120"/>
      <c r="J55" s="120"/>
      <c r="K55" s="120"/>
      <c r="L55" s="120"/>
      <c r="M55" s="13"/>
      <c r="N55" s="13"/>
      <c r="O55" s="13"/>
      <c r="P55" s="13"/>
      <c r="Q55" s="13"/>
      <c r="R55" s="13"/>
      <c r="S55" s="13"/>
      <c r="T55" s="13"/>
      <c r="U55" s="13"/>
      <c r="V55" s="13"/>
      <c r="W55" s="13"/>
      <c r="X55" s="13"/>
      <c r="Y55" s="13"/>
      <c r="Z55" s="13"/>
      <c r="AA55" s="13"/>
      <c r="AB55" s="13"/>
      <c r="AC55" s="13"/>
      <c r="AD55" s="13"/>
      <c r="AE55" s="13"/>
      <c r="AF55" s="13"/>
      <c r="AG55" s="68"/>
    </row>
    <row r="56" ht="15" customHeight="1">
      <c r="A56" s="169"/>
      <c r="B56" s="170">
        <f>-I7</f>
        <v>-52567</v>
      </c>
      <c r="C56" s="171">
        <f>C37*0.7</f>
        <v>4093.102098703109</v>
      </c>
      <c r="D56" s="172"/>
      <c r="E56" s="171">
        <f>E37*0.7</f>
        <v>4693.416498703111</v>
      </c>
      <c r="F56" s="173"/>
      <c r="G56" s="171">
        <f>G37*0.7</f>
        <v>5325.704910703108</v>
      </c>
      <c r="H56" s="173"/>
      <c r="I56" s="171">
        <f>I37*0.7</f>
        <v>5991.613129063109</v>
      </c>
      <c r="J56" s="173"/>
      <c r="K56" s="171">
        <f>K57+K62</f>
        <v>108519.3781179232</v>
      </c>
      <c r="L56" s="173"/>
      <c r="M56" s="174">
        <f>IRR(B56:K56)</f>
        <v>0.2185777790672851</v>
      </c>
      <c r="N56" t="s" s="175">
        <v>117</v>
      </c>
      <c r="O56" s="176"/>
      <c r="P56" s="176"/>
      <c r="Q56" s="176"/>
      <c r="R56" s="176"/>
      <c r="S56" s="176"/>
      <c r="T56" s="176"/>
      <c r="U56" s="176"/>
      <c r="V56" s="176"/>
      <c r="W56" s="176"/>
      <c r="X56" s="176"/>
      <c r="Y56" s="176"/>
      <c r="Z56" s="176"/>
      <c r="AA56" s="176"/>
      <c r="AB56" s="176"/>
      <c r="AC56" s="176"/>
      <c r="AD56" s="176"/>
      <c r="AE56" s="176"/>
      <c r="AF56" s="176"/>
      <c r="AG56" s="177"/>
    </row>
    <row r="57" ht="15" customHeight="1">
      <c r="A57" s="178"/>
      <c r="B57" s="173"/>
      <c r="C57" s="173"/>
      <c r="D57" s="173"/>
      <c r="E57" s="173"/>
      <c r="F57" s="173"/>
      <c r="G57" s="173"/>
      <c r="H57" s="173"/>
      <c r="I57" s="173"/>
      <c r="J57" s="173"/>
      <c r="K57" s="171">
        <f>K37*0.7</f>
        <v>6692.869951373911</v>
      </c>
      <c r="L57" s="173"/>
      <c r="M57" s="173"/>
      <c r="N57" s="173"/>
      <c r="O57" s="176"/>
      <c r="P57" s="176"/>
      <c r="Q57" s="176"/>
      <c r="R57" s="176"/>
      <c r="S57" s="176"/>
      <c r="T57" s="176"/>
      <c r="U57" s="176"/>
      <c r="V57" s="176"/>
      <c r="W57" s="176"/>
      <c r="X57" s="176"/>
      <c r="Y57" s="176"/>
      <c r="Z57" s="176"/>
      <c r="AA57" s="176"/>
      <c r="AB57" s="176"/>
      <c r="AC57" s="176"/>
      <c r="AD57" s="176"/>
      <c r="AE57" s="176"/>
      <c r="AF57" s="176"/>
      <c r="AG57" s="177"/>
    </row>
    <row r="58" ht="15" customHeight="1">
      <c r="A58" s="178"/>
      <c r="B58" s="173"/>
      <c r="C58" s="173"/>
      <c r="D58" s="173"/>
      <c r="E58" s="173"/>
      <c r="F58" s="173"/>
      <c r="G58" s="173"/>
      <c r="H58" s="173"/>
      <c r="I58" s="173"/>
      <c r="J58" s="173"/>
      <c r="K58" s="179">
        <f>K39*0.93</f>
        <v>248909.9574336001</v>
      </c>
      <c r="L58" t="s" s="175">
        <v>118</v>
      </c>
      <c r="M58" s="173"/>
      <c r="N58" s="173"/>
      <c r="O58" s="176"/>
      <c r="P58" s="176"/>
      <c r="Q58" s="176"/>
      <c r="R58" s="176"/>
      <c r="S58" s="176"/>
      <c r="T58" s="176"/>
      <c r="U58" s="176"/>
      <c r="V58" s="176"/>
      <c r="W58" s="176"/>
      <c r="X58" s="176"/>
      <c r="Y58" s="176"/>
      <c r="Z58" s="176"/>
      <c r="AA58" s="176"/>
      <c r="AB58" s="176"/>
      <c r="AC58" s="176"/>
      <c r="AD58" s="176"/>
      <c r="AE58" s="176"/>
      <c r="AF58" s="176"/>
      <c r="AG58" s="177"/>
    </row>
    <row r="59" ht="15" customHeight="1">
      <c r="A59" s="178"/>
      <c r="B59" s="173"/>
      <c r="C59" s="173"/>
      <c r="D59" s="173"/>
      <c r="E59" s="173"/>
      <c r="F59" s="173"/>
      <c r="G59" s="173"/>
      <c r="H59" s="173"/>
      <c r="I59" s="173"/>
      <c r="J59" s="173"/>
      <c r="K59" s="179">
        <f>K58-K40</f>
        <v>111915.9918235349</v>
      </c>
      <c r="L59" t="s" s="175">
        <v>119</v>
      </c>
      <c r="M59" s="173"/>
      <c r="N59" s="173"/>
      <c r="O59" s="176"/>
      <c r="P59" s="176"/>
      <c r="Q59" s="176"/>
      <c r="R59" s="176"/>
      <c r="S59" s="176"/>
      <c r="T59" s="176"/>
      <c r="U59" s="176"/>
      <c r="V59" s="176"/>
      <c r="W59" s="176"/>
      <c r="X59" s="176"/>
      <c r="Y59" s="176"/>
      <c r="Z59" s="176"/>
      <c r="AA59" s="176"/>
      <c r="AB59" s="176"/>
      <c r="AC59" s="176"/>
      <c r="AD59" s="176"/>
      <c r="AE59" s="176"/>
      <c r="AF59" s="176"/>
      <c r="AG59" s="177"/>
    </row>
    <row r="60" ht="15" customHeight="1">
      <c r="A60" s="178"/>
      <c r="B60" s="173"/>
      <c r="C60" s="173"/>
      <c r="D60" s="173"/>
      <c r="E60" s="173"/>
      <c r="F60" s="173"/>
      <c r="G60" s="173"/>
      <c r="H60" s="173"/>
      <c r="I60" s="173"/>
      <c r="J60" s="173"/>
      <c r="K60" s="179">
        <f>K58-I2+I5+I6</f>
        <v>51476.957433600066</v>
      </c>
      <c r="L60" t="s" s="175">
        <v>120</v>
      </c>
      <c r="M60" s="173"/>
      <c r="N60" s="173"/>
      <c r="O60" s="176"/>
      <c r="P60" s="176"/>
      <c r="Q60" s="176"/>
      <c r="R60" s="176"/>
      <c r="S60" s="176"/>
      <c r="T60" s="176"/>
      <c r="U60" s="176"/>
      <c r="V60" s="176"/>
      <c r="W60" s="176"/>
      <c r="X60" s="176"/>
      <c r="Y60" s="176"/>
      <c r="Z60" s="176"/>
      <c r="AA60" s="176"/>
      <c r="AB60" s="176"/>
      <c r="AC60" s="176"/>
      <c r="AD60" s="176"/>
      <c r="AE60" s="176"/>
      <c r="AF60" s="176"/>
      <c r="AG60" s="177"/>
    </row>
    <row r="61" ht="15" customHeight="1">
      <c r="A61" s="178"/>
      <c r="B61" s="173"/>
      <c r="C61" s="173"/>
      <c r="D61" s="173"/>
      <c r="E61" s="173"/>
      <c r="F61" s="173"/>
      <c r="G61" s="173"/>
      <c r="H61" s="173"/>
      <c r="I61" s="173"/>
      <c r="J61" s="173"/>
      <c r="K61" s="179">
        <f>K60*0.196</f>
        <v>10089.483656985612</v>
      </c>
      <c r="L61" t="s" s="175">
        <v>121</v>
      </c>
      <c r="M61" s="173"/>
      <c r="N61" s="173"/>
      <c r="O61" s="176"/>
      <c r="P61" s="176"/>
      <c r="Q61" s="176"/>
      <c r="R61" s="176"/>
      <c r="S61" s="176"/>
      <c r="T61" s="176"/>
      <c r="U61" s="176"/>
      <c r="V61" s="176"/>
      <c r="W61" s="176"/>
      <c r="X61" s="176"/>
      <c r="Y61" s="176"/>
      <c r="Z61" s="176"/>
      <c r="AA61" s="176"/>
      <c r="AB61" s="176"/>
      <c r="AC61" s="176"/>
      <c r="AD61" s="176"/>
      <c r="AE61" s="176"/>
      <c r="AF61" s="176"/>
      <c r="AG61" s="177"/>
    </row>
    <row r="62" ht="15" customHeight="1">
      <c r="A62" s="178"/>
      <c r="B62" s="173"/>
      <c r="C62" s="173"/>
      <c r="D62" s="173"/>
      <c r="E62" s="173"/>
      <c r="F62" s="173"/>
      <c r="G62" s="173"/>
      <c r="H62" s="173"/>
      <c r="I62" s="173"/>
      <c r="J62" s="173"/>
      <c r="K62" s="179">
        <f>K59-K61</f>
        <v>101826.5081665493</v>
      </c>
      <c r="L62" t="s" s="175">
        <v>122</v>
      </c>
      <c r="M62" s="173"/>
      <c r="N62" s="173"/>
      <c r="O62" s="176"/>
      <c r="P62" s="176"/>
      <c r="Q62" s="176"/>
      <c r="R62" s="176"/>
      <c r="S62" s="176"/>
      <c r="T62" s="176"/>
      <c r="U62" s="176"/>
      <c r="V62" s="176"/>
      <c r="W62" s="176"/>
      <c r="X62" s="176"/>
      <c r="Y62" s="176"/>
      <c r="Z62" s="176"/>
      <c r="AA62" s="176"/>
      <c r="AB62" s="176"/>
      <c r="AC62" s="176"/>
      <c r="AD62" s="176"/>
      <c r="AE62" s="176"/>
      <c r="AF62" s="176"/>
      <c r="AG62" s="177"/>
    </row>
    <row r="63" ht="15" customHeight="1">
      <c r="A63" s="178"/>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7"/>
    </row>
    <row r="64" ht="15" customHeight="1">
      <c r="A64" s="178"/>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7"/>
    </row>
    <row r="65" ht="15" customHeight="1">
      <c r="A65" s="180"/>
      <c r="B65" s="181"/>
      <c r="C65" s="182"/>
      <c r="D65" s="182"/>
      <c r="E65" s="182"/>
      <c r="F65" s="182"/>
      <c r="G65" s="182"/>
      <c r="H65" s="183"/>
      <c r="I65" s="184"/>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5"/>
    </row>
  </sheetData>
  <mergeCells count="1">
    <mergeCell ref="A53:K55"/>
  </mergeCells>
  <pageMargins left="0.7" right="0.7" top="0.75" bottom="0.75" header="0.3" footer="0.3"/>
  <pageSetup firstPageNumber="1" fitToHeight="1" fitToWidth="1" scale="67"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AG56"/>
  <sheetViews>
    <sheetView workbookViewId="0" showGridLines="0" defaultGridColor="1"/>
  </sheetViews>
  <sheetFormatPr defaultColWidth="9.16667" defaultRowHeight="14.4" customHeight="1" outlineLevelRow="0" outlineLevelCol="0"/>
  <cols>
    <col min="1" max="1" width="18" style="186" customWidth="1"/>
    <col min="2" max="2" width="19.8516" style="186" customWidth="1"/>
    <col min="3" max="3" width="16.1719" style="186" customWidth="1"/>
    <col min="4" max="4" width="6" style="186" customWidth="1"/>
    <col min="5" max="5" width="12.8516" style="186" customWidth="1"/>
    <col min="6" max="6" width="6" style="186" customWidth="1"/>
    <col min="7" max="7" width="13.5" style="186" customWidth="1"/>
    <col min="8" max="8" width="6" style="186" customWidth="1"/>
    <col min="9" max="9" width="13.6719" style="186" customWidth="1"/>
    <col min="10" max="10" width="6" style="186" customWidth="1"/>
    <col min="11" max="11" width="15.6719" style="186" customWidth="1"/>
    <col min="12" max="12" width="6" style="186" customWidth="1"/>
    <col min="13" max="13" width="15.6719" style="186" customWidth="1"/>
    <col min="14" max="14" width="6" style="186" customWidth="1"/>
    <col min="15" max="15" width="15.6719" style="186" customWidth="1"/>
    <col min="16" max="16" width="6" style="186" customWidth="1"/>
    <col min="17" max="17" width="15.6719" style="186" customWidth="1"/>
    <col min="18" max="18" width="6" style="186" customWidth="1"/>
    <col min="19" max="19" width="15.6719" style="186" customWidth="1"/>
    <col min="20" max="20" width="6" style="186" customWidth="1"/>
    <col min="21" max="21" width="15.6719" style="186" customWidth="1"/>
    <col min="22" max="22" width="6" style="186" customWidth="1"/>
    <col min="23" max="23" width="15.6719" style="186" customWidth="1"/>
    <col min="24" max="24" width="6" style="186" customWidth="1"/>
    <col min="25" max="25" width="15.6719" style="186" customWidth="1"/>
    <col min="26" max="26" width="6" style="186" customWidth="1"/>
    <col min="27" max="27" width="15.6719" style="186" customWidth="1"/>
    <col min="28" max="28" width="6" style="186" customWidth="1"/>
    <col min="29" max="29" width="15.6719" style="186" customWidth="1"/>
    <col min="30" max="30" width="6" style="186" customWidth="1"/>
    <col min="31" max="31" width="15.6719" style="186" customWidth="1"/>
    <col min="32" max="32" width="6" style="186" customWidth="1"/>
    <col min="33" max="33" width="15.6719" style="186" customWidth="1"/>
    <col min="34" max="256" width="9.17188" style="186" customWidth="1"/>
  </cols>
  <sheetData>
    <row r="1" ht="18" customHeight="1">
      <c r="A1" t="s" s="64">
        <v>55</v>
      </c>
      <c r="B1" s="65"/>
      <c r="C1" t="s" s="66">
        <f>'Inputs'!B10</f>
        <v>56</v>
      </c>
      <c r="D1" s="65"/>
      <c r="E1" t="s" s="66">
        <v>58</v>
      </c>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7"/>
    </row>
    <row r="2" ht="15.6" customHeight="1">
      <c r="A2" s="24"/>
      <c r="B2" s="13"/>
      <c r="C2" s="13"/>
      <c r="D2" s="13"/>
      <c r="E2" t="s" s="91">
        <v>15</v>
      </c>
      <c r="F2" s="13"/>
      <c r="G2" s="73"/>
      <c r="H2" s="13"/>
      <c r="I2" s="74">
        <f>'Inputs'!B15</f>
        <v>200000</v>
      </c>
      <c r="J2" s="13"/>
      <c r="K2" s="13"/>
      <c r="L2" s="13"/>
      <c r="M2" s="13"/>
      <c r="N2" s="13"/>
      <c r="O2" s="13"/>
      <c r="P2" s="13"/>
      <c r="Q2" s="13"/>
      <c r="R2" s="13"/>
      <c r="S2" s="13"/>
      <c r="T2" s="13"/>
      <c r="U2" s="13"/>
      <c r="V2" s="13"/>
      <c r="W2" s="13"/>
      <c r="X2" s="13"/>
      <c r="Y2" s="13"/>
      <c r="Z2" s="13"/>
      <c r="AA2" s="13"/>
      <c r="AB2" s="13"/>
      <c r="AC2" s="13"/>
      <c r="AD2" s="13"/>
      <c r="AE2" s="13"/>
      <c r="AF2" s="13"/>
      <c r="AG2" s="68"/>
    </row>
    <row r="3" ht="16.2" customHeight="1">
      <c r="A3" t="s" s="69">
        <v>57</v>
      </c>
      <c r="B3" s="13"/>
      <c r="C3" s="70">
        <f>'Inputs'!B11</f>
        <v>1</v>
      </c>
      <c r="D3" s="13"/>
      <c r="E3" t="s" s="91">
        <v>59</v>
      </c>
      <c r="F3" s="13"/>
      <c r="G3" s="73"/>
      <c r="H3" s="13"/>
      <c r="I3" s="75">
        <f>'Inputs'!B19</f>
        <v>150000</v>
      </c>
      <c r="J3" s="13"/>
      <c r="K3" s="13"/>
      <c r="L3" s="13"/>
      <c r="M3" s="13"/>
      <c r="N3" s="13"/>
      <c r="O3" s="13"/>
      <c r="P3" s="13"/>
      <c r="Q3" s="13"/>
      <c r="R3" s="13"/>
      <c r="S3" s="13"/>
      <c r="T3" s="13"/>
      <c r="U3" s="13"/>
      <c r="V3" s="13"/>
      <c r="W3" s="13"/>
      <c r="X3" s="13"/>
      <c r="Y3" s="13"/>
      <c r="Z3" s="13"/>
      <c r="AA3" s="13"/>
      <c r="AB3" s="13"/>
      <c r="AC3" s="13"/>
      <c r="AD3" s="13"/>
      <c r="AE3" s="13"/>
      <c r="AF3" s="13"/>
      <c r="AG3" s="68"/>
    </row>
    <row r="4" ht="15.6" customHeight="1">
      <c r="A4" s="24"/>
      <c r="B4" s="13"/>
      <c r="C4" s="13"/>
      <c r="D4" s="13"/>
      <c r="E4" t="s" s="91">
        <v>60</v>
      </c>
      <c r="F4" s="13"/>
      <c r="G4" s="73"/>
      <c r="H4" s="13"/>
      <c r="I4" s="76">
        <f>'Inputs'!B18</f>
        <v>50000</v>
      </c>
      <c r="J4" s="13"/>
      <c r="K4" s="13"/>
      <c r="L4" s="13"/>
      <c r="M4" s="13"/>
      <c r="N4" s="13"/>
      <c r="O4" s="13"/>
      <c r="P4" s="13"/>
      <c r="Q4" s="13"/>
      <c r="R4" s="13"/>
      <c r="S4" s="13"/>
      <c r="T4" s="13"/>
      <c r="U4" s="13"/>
      <c r="V4" s="13"/>
      <c r="W4" s="13"/>
      <c r="X4" s="13"/>
      <c r="Y4" s="13"/>
      <c r="Z4" s="13"/>
      <c r="AA4" s="13"/>
      <c r="AB4" s="13"/>
      <c r="AC4" s="13"/>
      <c r="AD4" s="13"/>
      <c r="AE4" s="13"/>
      <c r="AF4" s="13"/>
      <c r="AG4" s="68"/>
    </row>
    <row r="5" ht="15.6" customHeight="1">
      <c r="A5" s="24"/>
      <c r="B5" s="13"/>
      <c r="C5" s="13"/>
      <c r="D5" s="13"/>
      <c r="E5" t="s" s="91">
        <v>61</v>
      </c>
      <c r="F5" s="13"/>
      <c r="G5" s="73"/>
      <c r="H5" s="13"/>
      <c r="I5" s="74">
        <f>'Inputs'!B16+'Inputs'!B17</f>
        <v>2367</v>
      </c>
      <c r="J5" s="13"/>
      <c r="K5" s="13"/>
      <c r="L5" s="13"/>
      <c r="M5" s="13"/>
      <c r="N5" s="13"/>
      <c r="O5" s="13"/>
      <c r="P5" s="13"/>
      <c r="Q5" s="13"/>
      <c r="R5" s="13"/>
      <c r="S5" s="13"/>
      <c r="T5" s="13"/>
      <c r="U5" s="13"/>
      <c r="V5" s="13"/>
      <c r="W5" s="13"/>
      <c r="X5" s="13"/>
      <c r="Y5" s="13"/>
      <c r="Z5" s="13"/>
      <c r="AA5" s="13"/>
      <c r="AB5" s="13"/>
      <c r="AC5" s="13"/>
      <c r="AD5" s="13"/>
      <c r="AE5" s="13"/>
      <c r="AF5" s="13"/>
      <c r="AG5" s="68"/>
    </row>
    <row r="6" ht="16.2" customHeight="1">
      <c r="A6" s="24"/>
      <c r="B6" s="13"/>
      <c r="C6" s="13"/>
      <c r="D6" s="13"/>
      <c r="E6" t="s" s="91">
        <v>62</v>
      </c>
      <c r="F6" s="13"/>
      <c r="G6" s="73"/>
      <c r="H6" s="13"/>
      <c r="I6" s="75">
        <f>'Inputs'!B21</f>
        <v>200</v>
      </c>
      <c r="J6" s="13"/>
      <c r="K6" s="13"/>
      <c r="L6" s="13"/>
      <c r="M6" s="13"/>
      <c r="N6" s="13"/>
      <c r="O6" s="13"/>
      <c r="P6" s="13"/>
      <c r="Q6" s="13"/>
      <c r="R6" s="13"/>
      <c r="S6" s="13"/>
      <c r="T6" s="13"/>
      <c r="U6" s="13"/>
      <c r="V6" s="13"/>
      <c r="W6" s="13"/>
      <c r="X6" s="13"/>
      <c r="Y6" s="13"/>
      <c r="Z6" s="13"/>
      <c r="AA6" s="13"/>
      <c r="AB6" s="13"/>
      <c r="AC6" s="13"/>
      <c r="AD6" s="13"/>
      <c r="AE6" s="13"/>
      <c r="AF6" s="13"/>
      <c r="AG6" s="68"/>
    </row>
    <row r="7" ht="18.6" customHeight="1">
      <c r="A7" s="24"/>
      <c r="B7" s="13"/>
      <c r="C7" s="13"/>
      <c r="D7" s="13"/>
      <c r="E7" t="s" s="129">
        <v>63</v>
      </c>
      <c r="F7" s="13"/>
      <c r="G7" s="77"/>
      <c r="H7" s="13"/>
      <c r="I7" s="78">
        <f>'Inputs'!B22</f>
        <v>52567</v>
      </c>
      <c r="J7" s="13"/>
      <c r="K7" s="13"/>
      <c r="L7" s="13"/>
      <c r="M7" s="13"/>
      <c r="N7" s="13"/>
      <c r="O7" s="13"/>
      <c r="P7" s="13"/>
      <c r="Q7" s="13"/>
      <c r="R7" s="13"/>
      <c r="S7" s="13"/>
      <c r="T7" s="13"/>
      <c r="U7" s="13"/>
      <c r="V7" s="13"/>
      <c r="W7" s="13"/>
      <c r="X7" s="13"/>
      <c r="Y7" s="13"/>
      <c r="Z7" s="13"/>
      <c r="AA7" s="13"/>
      <c r="AB7" s="13"/>
      <c r="AC7" s="13"/>
      <c r="AD7" s="13"/>
      <c r="AE7" s="13"/>
      <c r="AF7" s="13"/>
      <c r="AG7" s="68"/>
    </row>
    <row r="8" ht="18.6" customHeight="1">
      <c r="A8" t="s" s="71">
        <v>64</v>
      </c>
      <c r="B8" s="13"/>
      <c r="C8" s="13"/>
      <c r="D8" s="13"/>
      <c r="E8" s="13"/>
      <c r="F8" s="13"/>
      <c r="G8" s="13"/>
      <c r="H8" s="13"/>
      <c r="I8" s="79"/>
      <c r="J8" s="13"/>
      <c r="K8" s="13"/>
      <c r="L8" s="13"/>
      <c r="M8" s="13"/>
      <c r="N8" s="13"/>
      <c r="O8" s="13"/>
      <c r="P8" s="13"/>
      <c r="Q8" s="13"/>
      <c r="R8" s="13"/>
      <c r="S8" s="13"/>
      <c r="T8" s="13"/>
      <c r="U8" s="13"/>
      <c r="V8" s="13"/>
      <c r="W8" s="13"/>
      <c r="X8" s="13"/>
      <c r="Y8" s="13"/>
      <c r="Z8" s="13"/>
      <c r="AA8" s="13"/>
      <c r="AB8" s="13"/>
      <c r="AC8" s="13"/>
      <c r="AD8" s="13"/>
      <c r="AE8" s="13"/>
      <c r="AF8" s="13"/>
      <c r="AG8" s="68"/>
    </row>
    <row r="9" ht="15" customHeight="1">
      <c r="A9" s="2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68"/>
    </row>
    <row r="10" ht="15.6" customHeight="1">
      <c r="A10" t="s" s="80">
        <v>65</v>
      </c>
      <c r="B10" s="73"/>
      <c r="C10" t="s" s="91">
        <v>91</v>
      </c>
      <c r="D10" s="73"/>
      <c r="E10" t="s" s="130">
        <v>92</v>
      </c>
      <c r="F10" s="13"/>
      <c r="G10" t="s" s="130">
        <v>93</v>
      </c>
      <c r="H10" s="13"/>
      <c r="I10" t="s" s="130">
        <v>94</v>
      </c>
      <c r="J10" s="13"/>
      <c r="K10" t="s" s="130">
        <v>95</v>
      </c>
      <c r="L10" s="13"/>
      <c r="M10" t="s" s="130">
        <v>96</v>
      </c>
      <c r="N10" s="13"/>
      <c r="O10" t="s" s="130">
        <v>97</v>
      </c>
      <c r="P10" s="13"/>
      <c r="Q10" t="s" s="130">
        <v>98</v>
      </c>
      <c r="R10" s="13"/>
      <c r="S10" t="s" s="130">
        <v>99</v>
      </c>
      <c r="T10" s="13"/>
      <c r="U10" t="s" s="130">
        <v>100</v>
      </c>
      <c r="V10" s="13"/>
      <c r="W10" t="s" s="130">
        <v>101</v>
      </c>
      <c r="X10" s="13"/>
      <c r="Y10" t="s" s="130">
        <v>102</v>
      </c>
      <c r="Z10" s="13"/>
      <c r="AA10" t="s" s="130">
        <v>103</v>
      </c>
      <c r="AB10" s="13"/>
      <c r="AC10" t="s" s="130">
        <v>104</v>
      </c>
      <c r="AD10" s="13"/>
      <c r="AE10" t="s" s="130">
        <v>105</v>
      </c>
      <c r="AF10" s="13"/>
      <c r="AG10" t="s" s="131">
        <v>106</v>
      </c>
    </row>
    <row r="11" ht="15.6" customHeight="1">
      <c r="A11" t="s" s="72">
        <v>66</v>
      </c>
      <c r="B11" s="73"/>
      <c r="C11" s="81">
        <f>'Inputs'!B33*12</f>
        <v>22752</v>
      </c>
      <c r="D11" s="81"/>
      <c r="E11" s="132">
        <f>C11*(1+'Inputs'!$B$37)</f>
        <v>23889.6</v>
      </c>
      <c r="F11" s="132"/>
      <c r="G11" s="132">
        <f>E11*(1+'Inputs'!$B$37)</f>
        <v>25084.08</v>
      </c>
      <c r="H11" s="132"/>
      <c r="I11" s="132">
        <f>G11*(1+'Inputs'!$B$37)</f>
        <v>26338.284</v>
      </c>
      <c r="J11" s="132"/>
      <c r="K11" s="132">
        <f>I11*(1+'Inputs'!$B$37)</f>
        <v>27655.198200000006</v>
      </c>
      <c r="L11" s="132"/>
      <c r="M11" s="132">
        <f>K11*(1+'Inputs'!$B$37)</f>
        <v>29037.958110000007</v>
      </c>
      <c r="N11" s="132"/>
      <c r="O11" s="132">
        <f>M11*(1+'Inputs'!$B$37)</f>
        <v>30489.856015500009</v>
      </c>
      <c r="P11" s="13"/>
      <c r="Q11" s="132">
        <f>O11*(1+'Inputs'!$B$37)</f>
        <v>32014.348816275011</v>
      </c>
      <c r="R11" s="13"/>
      <c r="S11" s="132">
        <f>Q11*(1+'Inputs'!$B$37)</f>
        <v>33615.066257088765</v>
      </c>
      <c r="T11" s="13"/>
      <c r="U11" s="132">
        <f>S11*(1+'Inputs'!$B$37)</f>
        <v>35295.8195699432</v>
      </c>
      <c r="V11" s="13"/>
      <c r="W11" s="132">
        <f>U11*(1+'Inputs'!$B$37)</f>
        <v>37060.610548440367</v>
      </c>
      <c r="X11" s="13"/>
      <c r="Y11" s="132">
        <f>W11*(1+'Inputs'!$B$37)</f>
        <v>38913.641075862390</v>
      </c>
      <c r="Z11" s="13"/>
      <c r="AA11" s="132">
        <f>Y11*(1+'Inputs'!$B$37)</f>
        <v>40859.323129655510</v>
      </c>
      <c r="AB11" s="13"/>
      <c r="AC11" s="132">
        <f>AA11*(1+'Inputs'!$B$37)</f>
        <v>42902.289286138286</v>
      </c>
      <c r="AD11" s="13"/>
      <c r="AE11" s="132">
        <f>AC11*(1+'Inputs'!$B$37)</f>
        <v>45047.4037504452</v>
      </c>
      <c r="AF11" s="13"/>
      <c r="AG11" s="133">
        <f>AE11*(1+'Inputs'!$B$37)</f>
        <v>47299.773937967460</v>
      </c>
    </row>
    <row r="12" ht="16.2" customHeight="1">
      <c r="A12" t="s" s="72">
        <v>68</v>
      </c>
      <c r="B12" s="85">
        <f>'Inputs'!B35</f>
        <v>0.05</v>
      </c>
      <c r="C12" s="86">
        <f>-C11*'Inputs'!B35</f>
        <v>-1137.6</v>
      </c>
      <c r="D12" s="81"/>
      <c r="E12" s="134">
        <f>-E11*'Inputs'!$B$35</f>
        <v>-1194.48</v>
      </c>
      <c r="F12" s="132"/>
      <c r="G12" s="134">
        <f>-G11*'Inputs'!$B$35</f>
        <v>-1254.204</v>
      </c>
      <c r="H12" s="132"/>
      <c r="I12" s="134">
        <f>-I11*'Inputs'!$B$35</f>
        <v>-1316.9142</v>
      </c>
      <c r="J12" s="132"/>
      <c r="K12" s="134">
        <f>-K11*'Inputs'!$B$35</f>
        <v>-1382.75991</v>
      </c>
      <c r="L12" s="132"/>
      <c r="M12" s="134">
        <f>-M11*'Inputs'!$B$35</f>
        <v>-1451.8979055</v>
      </c>
      <c r="N12" s="132"/>
      <c r="O12" s="134">
        <f>-O11*'Inputs'!$B$35</f>
        <v>-1524.492800775</v>
      </c>
      <c r="P12" s="13"/>
      <c r="Q12" s="134">
        <f>-Q11*'Inputs'!$B$35</f>
        <v>-1600.717440813751</v>
      </c>
      <c r="R12" s="13"/>
      <c r="S12" s="134">
        <f>-S11*'Inputs'!$B$35</f>
        <v>-1680.753312854438</v>
      </c>
      <c r="T12" s="13"/>
      <c r="U12" s="134">
        <f>-U11*'Inputs'!$B$35</f>
        <v>-1764.790978497160</v>
      </c>
      <c r="V12" s="13"/>
      <c r="W12" s="134">
        <f>-W11*'Inputs'!$B$35</f>
        <v>-1853.030527422018</v>
      </c>
      <c r="X12" s="13"/>
      <c r="Y12" s="134">
        <f>-Y11*'Inputs'!$B$35</f>
        <v>-1945.682053793120</v>
      </c>
      <c r="Z12" s="13"/>
      <c r="AA12" s="134">
        <f>-AA11*'Inputs'!$B$35</f>
        <v>-2042.966156482776</v>
      </c>
      <c r="AB12" s="13"/>
      <c r="AC12" s="134">
        <f>-AC11*'Inputs'!$B$35</f>
        <v>-2145.114464306914</v>
      </c>
      <c r="AD12" s="13"/>
      <c r="AE12" s="134">
        <f>-AE11*'Inputs'!$B$35</f>
        <v>-2252.370187522260</v>
      </c>
      <c r="AF12" s="13"/>
      <c r="AG12" s="135">
        <f>-AG11*'Inputs'!$B$35</f>
        <v>-2364.988696898373</v>
      </c>
    </row>
    <row r="13" ht="15.6" customHeight="1">
      <c r="A13" t="s" s="69">
        <v>69</v>
      </c>
      <c r="B13" s="88"/>
      <c r="C13" s="89">
        <f>SUM(C11:C12)</f>
        <v>21614.4</v>
      </c>
      <c r="D13" s="81"/>
      <c r="E13" s="89">
        <f>SUM(E11:E12)</f>
        <v>22695.12</v>
      </c>
      <c r="F13" s="132"/>
      <c r="G13" s="89">
        <f>SUM(G11:G12)</f>
        <v>23829.876</v>
      </c>
      <c r="H13" s="132"/>
      <c r="I13" s="89">
        <f>SUM(I11:I12)</f>
        <v>25021.3698</v>
      </c>
      <c r="J13" s="132"/>
      <c r="K13" s="89">
        <f>SUM(K11:K12)</f>
        <v>26272.438290000006</v>
      </c>
      <c r="L13" s="96"/>
      <c r="M13" s="89">
        <f>SUM(M11:M12)</f>
        <v>27586.060204500005</v>
      </c>
      <c r="N13" s="96"/>
      <c r="O13" s="89">
        <f>SUM(O11:O12)</f>
        <v>28965.363214725010</v>
      </c>
      <c r="P13" s="13"/>
      <c r="Q13" s="89">
        <f>SUM(Q11:Q12)</f>
        <v>30413.631375461260</v>
      </c>
      <c r="R13" s="13"/>
      <c r="S13" s="89">
        <f>SUM(S11:S12)</f>
        <v>31934.312944234327</v>
      </c>
      <c r="T13" s="13"/>
      <c r="U13" s="89">
        <f>SUM(U11:U12)</f>
        <v>33531.028591446040</v>
      </c>
      <c r="V13" s="13"/>
      <c r="W13" s="89">
        <f>SUM(W11:W12)</f>
        <v>35207.580021018352</v>
      </c>
      <c r="X13" s="13"/>
      <c r="Y13" s="89">
        <f>SUM(Y11:Y12)</f>
        <v>36967.959022069270</v>
      </c>
      <c r="Z13" s="13"/>
      <c r="AA13" s="89">
        <f>SUM(AA11:AA12)</f>
        <v>38816.356973172733</v>
      </c>
      <c r="AB13" s="13"/>
      <c r="AC13" s="89">
        <f>SUM(AC11:AC12)</f>
        <v>40757.174821831373</v>
      </c>
      <c r="AD13" s="13"/>
      <c r="AE13" s="89">
        <f>SUM(AE11:AE12)</f>
        <v>42795.033562922938</v>
      </c>
      <c r="AF13" s="13"/>
      <c r="AG13" s="136">
        <f>SUM(AG11:AG12)</f>
        <v>44934.785241069090</v>
      </c>
    </row>
    <row r="14" ht="15.6" customHeight="1">
      <c r="A14" s="90"/>
      <c r="B14" s="73"/>
      <c r="C14" s="81"/>
      <c r="D14" s="7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68"/>
    </row>
    <row r="15" ht="15.6" customHeight="1">
      <c r="A15" t="s" s="80">
        <v>70</v>
      </c>
      <c r="B15" s="73"/>
      <c r="C15" s="81"/>
      <c r="D15" s="7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68"/>
    </row>
    <row r="16" ht="15.6" customHeight="1">
      <c r="A16" t="s" s="72">
        <v>37</v>
      </c>
      <c r="B16" s="73"/>
      <c r="C16" s="81">
        <f>'Inputs'!B42</f>
        <v>925</v>
      </c>
      <c r="D16" s="81"/>
      <c r="E16" s="132">
        <f>C16*(1+'Inputs'!$B$39)</f>
        <v>980.5</v>
      </c>
      <c r="F16" s="132"/>
      <c r="G16" s="132">
        <f>E16*(1+'Inputs'!$B$39)</f>
        <v>1039.33</v>
      </c>
      <c r="H16" s="132"/>
      <c r="I16" s="132">
        <f>G16*(1+'Inputs'!$B$39)</f>
        <v>1101.6898</v>
      </c>
      <c r="J16" s="132"/>
      <c r="K16" s="132">
        <f>I16*(1+'Inputs'!$B$39)</f>
        <v>1167.791188</v>
      </c>
      <c r="L16" s="132"/>
      <c r="M16" s="132">
        <f>K16*(1+'Inputs'!$B$39)</f>
        <v>1237.85865928</v>
      </c>
      <c r="N16" s="132"/>
      <c r="O16" s="132">
        <f>M16*(1+'Inputs'!$B$39)</f>
        <v>1312.1301788368</v>
      </c>
      <c r="P16" s="13"/>
      <c r="Q16" s="132">
        <f>O16*(1+'Inputs'!$B$39)</f>
        <v>1390.857989567009</v>
      </c>
      <c r="R16" s="13"/>
      <c r="S16" s="132">
        <f>Q16*(1+'Inputs'!$B$39)</f>
        <v>1474.309468941029</v>
      </c>
      <c r="T16" s="13"/>
      <c r="U16" s="132">
        <f>S16*(1+'Inputs'!$B$39)</f>
        <v>1562.768037077491</v>
      </c>
      <c r="V16" s="13"/>
      <c r="W16" s="132">
        <f>U16*(1+'Inputs'!$B$39)</f>
        <v>1656.534119302141</v>
      </c>
      <c r="X16" s="13"/>
      <c r="Y16" s="132">
        <f>W16*(1+'Inputs'!$B$39)</f>
        <v>1755.926166460269</v>
      </c>
      <c r="Z16" s="13"/>
      <c r="AA16" s="132">
        <f>Y16*(1+'Inputs'!$B$39)</f>
        <v>1861.281736447885</v>
      </c>
      <c r="AB16" s="13"/>
      <c r="AC16" s="132">
        <f>AA16*(1+'Inputs'!$B$39)</f>
        <v>1972.958640634758</v>
      </c>
      <c r="AD16" s="13"/>
      <c r="AE16" s="132">
        <f>AC16*(1+'Inputs'!$B$39)</f>
        <v>2091.336159072844</v>
      </c>
      <c r="AF16" s="13"/>
      <c r="AG16" s="133">
        <f>AE16*(1+'Inputs'!$B$39)</f>
        <v>2216.816328617215</v>
      </c>
    </row>
    <row r="17" ht="15.6" customHeight="1">
      <c r="A17" t="s" s="72">
        <v>38</v>
      </c>
      <c r="B17" s="73"/>
      <c r="C17" s="81">
        <f>'Inputs'!B43</f>
        <v>250</v>
      </c>
      <c r="D17" s="81"/>
      <c r="E17" s="132">
        <f>C17*(1.03)</f>
        <v>257.5</v>
      </c>
      <c r="F17" s="132"/>
      <c r="G17" s="132">
        <f>E17*(1.03)</f>
        <v>265.225</v>
      </c>
      <c r="H17" s="132"/>
      <c r="I17" s="132">
        <f>G17*(1.03)</f>
        <v>273.18175</v>
      </c>
      <c r="J17" s="132"/>
      <c r="K17" s="132">
        <f>I17*(1.03)</f>
        <v>281.3772025</v>
      </c>
      <c r="L17" s="132"/>
      <c r="M17" s="132">
        <f>K17*(1.03)</f>
        <v>289.818518575</v>
      </c>
      <c r="N17" s="132"/>
      <c r="O17" s="132">
        <f>M17*(1.03)</f>
        <v>298.513074132250</v>
      </c>
      <c r="P17" s="13"/>
      <c r="Q17" s="132">
        <f>O17*(1.03)</f>
        <v>307.4684663562176</v>
      </c>
      <c r="R17" s="13"/>
      <c r="S17" s="132">
        <f>Q17*(1.03)</f>
        <v>316.6925203469041</v>
      </c>
      <c r="T17" s="13"/>
      <c r="U17" s="132">
        <f>S17*(1.03)</f>
        <v>326.1932959573112</v>
      </c>
      <c r="V17" s="13"/>
      <c r="W17" s="132">
        <f>U17*(1.03)</f>
        <v>335.9790948360305</v>
      </c>
      <c r="X17" s="13"/>
      <c r="Y17" s="132">
        <f>W17*(1.03)</f>
        <v>346.0584676811114</v>
      </c>
      <c r="Z17" s="13"/>
      <c r="AA17" s="132">
        <f>Y17*(1.03)</f>
        <v>356.4402217115448</v>
      </c>
      <c r="AB17" s="13"/>
      <c r="AC17" s="132">
        <f>AA17*(1.03)</f>
        <v>367.1334283628912</v>
      </c>
      <c r="AD17" s="13"/>
      <c r="AE17" s="132">
        <f>AC17*(1.03)</f>
        <v>378.1474312137779</v>
      </c>
      <c r="AF17" s="13"/>
      <c r="AG17" s="133">
        <f>AE17*(1.03)</f>
        <v>389.4918541501913</v>
      </c>
    </row>
    <row r="18" ht="15.6" customHeight="1">
      <c r="A18" t="s" s="72">
        <v>39</v>
      </c>
      <c r="B18" s="73"/>
      <c r="C18" s="81">
        <f>'Inputs'!B44</f>
        <v>1800</v>
      </c>
      <c r="D18" s="81"/>
      <c r="E18" s="132">
        <f>C18*(1.03)</f>
        <v>1854</v>
      </c>
      <c r="F18" s="132"/>
      <c r="G18" s="132">
        <f>E18*(1.03)</f>
        <v>1909.62</v>
      </c>
      <c r="H18" s="132"/>
      <c r="I18" s="132">
        <f>G18*(1.03)</f>
        <v>1966.9086</v>
      </c>
      <c r="J18" s="132"/>
      <c r="K18" s="132">
        <f>I18*(1.03)</f>
        <v>2025.915858</v>
      </c>
      <c r="L18" s="132"/>
      <c r="M18" s="132">
        <f>K18*(1.03)</f>
        <v>2086.693333740001</v>
      </c>
      <c r="N18" s="132"/>
      <c r="O18" s="132">
        <f>M18*(1.03)</f>
        <v>2149.294133752201</v>
      </c>
      <c r="P18" s="13"/>
      <c r="Q18" s="132">
        <f>O18*(1.03)</f>
        <v>2213.772957764767</v>
      </c>
      <c r="R18" s="13"/>
      <c r="S18" s="132">
        <f>Q18*(1.03)</f>
        <v>2280.186146497710</v>
      </c>
      <c r="T18" s="13"/>
      <c r="U18" s="132">
        <f>S18*(1.03)</f>
        <v>2348.591730892641</v>
      </c>
      <c r="V18" s="13"/>
      <c r="W18" s="132">
        <f>U18*(1.03)</f>
        <v>2419.049482819421</v>
      </c>
      <c r="X18" s="13"/>
      <c r="Y18" s="132">
        <f>W18*(1.03)</f>
        <v>2491.620967304003</v>
      </c>
      <c r="Z18" s="13"/>
      <c r="AA18" s="132">
        <f>Y18*(1.03)</f>
        <v>2566.369596323123</v>
      </c>
      <c r="AB18" s="13"/>
      <c r="AC18" s="132">
        <f>AA18*(1.03)</f>
        <v>2643.360684212817</v>
      </c>
      <c r="AD18" s="13"/>
      <c r="AE18" s="132">
        <f>AC18*(1.03)</f>
        <v>2722.661504739202</v>
      </c>
      <c r="AF18" s="13"/>
      <c r="AG18" s="133">
        <f>AE18*(1.03)</f>
        <v>2804.341349881377</v>
      </c>
    </row>
    <row r="19" ht="15.6" customHeight="1">
      <c r="A19" t="s" s="72">
        <v>41</v>
      </c>
      <c r="B19" s="73"/>
      <c r="C19" s="81">
        <f>'Inputs'!B45</f>
        <v>1137.6</v>
      </c>
      <c r="D19" s="81"/>
      <c r="E19" s="132">
        <f>C19*1.03</f>
        <v>1171.728</v>
      </c>
      <c r="F19" s="132"/>
      <c r="G19" s="132">
        <f>E19*1.03</f>
        <v>1206.87984</v>
      </c>
      <c r="H19" s="132"/>
      <c r="I19" s="132">
        <f>G19*1.03</f>
        <v>1243.0862352</v>
      </c>
      <c r="J19" s="132"/>
      <c r="K19" s="132">
        <f>I19*1.03</f>
        <v>1280.378822256</v>
      </c>
      <c r="L19" s="132"/>
      <c r="M19" s="132">
        <f>K19*1.03</f>
        <v>1318.790186923680</v>
      </c>
      <c r="N19" s="132"/>
      <c r="O19" s="132">
        <f>M19*1.03</f>
        <v>1358.353892531391</v>
      </c>
      <c r="P19" s="13"/>
      <c r="Q19" s="132">
        <f>O19*1.03</f>
        <v>1399.104509307333</v>
      </c>
      <c r="R19" s="13"/>
      <c r="S19" s="132">
        <f>Q19*1.03</f>
        <v>1441.077644586553</v>
      </c>
      <c r="T19" s="13"/>
      <c r="U19" s="132">
        <f>S19*1.03</f>
        <v>1484.309973924149</v>
      </c>
      <c r="V19" s="13"/>
      <c r="W19" s="132">
        <f>U19*1.03</f>
        <v>1528.839273141874</v>
      </c>
      <c r="X19" s="13"/>
      <c r="Y19" s="132">
        <f>W19*1.03</f>
        <v>1574.704451336130</v>
      </c>
      <c r="Z19" s="13"/>
      <c r="AA19" s="132">
        <f>Y19*1.03</f>
        <v>1621.945584876214</v>
      </c>
      <c r="AB19" s="13"/>
      <c r="AC19" s="132">
        <f>AA19*1.03</f>
        <v>1670.6039524225</v>
      </c>
      <c r="AD19" s="13"/>
      <c r="AE19" s="132">
        <f>AC19*1.03</f>
        <v>1720.722070995175</v>
      </c>
      <c r="AF19" s="13"/>
      <c r="AG19" s="133">
        <f>AE19*1.03</f>
        <v>1772.343733125031</v>
      </c>
    </row>
    <row r="20" ht="15.6" customHeight="1">
      <c r="A20" t="s" s="72">
        <v>43</v>
      </c>
      <c r="B20" s="73"/>
      <c r="C20" s="81">
        <f>'Inputs'!B46</f>
        <v>0</v>
      </c>
      <c r="D20" s="81"/>
      <c r="E20" s="132">
        <f>C20*1.03</f>
        <v>0</v>
      </c>
      <c r="F20" s="132"/>
      <c r="G20" s="132">
        <f>E20*1.03</f>
        <v>0</v>
      </c>
      <c r="H20" s="132"/>
      <c r="I20" s="132">
        <f>G20*1.03</f>
        <v>0</v>
      </c>
      <c r="J20" s="132"/>
      <c r="K20" s="132">
        <f>I20*1.03</f>
        <v>0</v>
      </c>
      <c r="L20" s="132"/>
      <c r="M20" s="132">
        <f>K20*1.03</f>
        <v>0</v>
      </c>
      <c r="N20" s="132"/>
      <c r="O20" s="132">
        <f>M20*1.03</f>
        <v>0</v>
      </c>
      <c r="P20" s="13"/>
      <c r="Q20" s="132">
        <f>O20*1.03</f>
        <v>0</v>
      </c>
      <c r="R20" s="13"/>
      <c r="S20" s="132">
        <f>Q20*1.03</f>
        <v>0</v>
      </c>
      <c r="T20" s="13"/>
      <c r="U20" s="132">
        <f>S20*1.03</f>
        <v>0</v>
      </c>
      <c r="V20" s="13"/>
      <c r="W20" s="132">
        <f>U20*1.03</f>
        <v>0</v>
      </c>
      <c r="X20" s="13"/>
      <c r="Y20" s="132">
        <f>W20*1.03</f>
        <v>0</v>
      </c>
      <c r="Z20" s="13"/>
      <c r="AA20" s="132">
        <f>Y20*1.03</f>
        <v>0</v>
      </c>
      <c r="AB20" s="13"/>
      <c r="AC20" s="132">
        <f>AA20*1.03</f>
        <v>0</v>
      </c>
      <c r="AD20" s="13"/>
      <c r="AE20" s="132">
        <f>AC20*1.03</f>
        <v>0</v>
      </c>
      <c r="AF20" s="13"/>
      <c r="AG20" s="133">
        <f>AE20*1.03</f>
        <v>0</v>
      </c>
    </row>
    <row r="21" ht="15.6" customHeight="1">
      <c r="A21" t="s" s="72">
        <v>74</v>
      </c>
      <c r="B21" s="73"/>
      <c r="C21" s="81">
        <f>'Inputs'!B47</f>
        <v>0</v>
      </c>
      <c r="D21" s="81"/>
      <c r="E21" s="132">
        <f>C21*1.03</f>
        <v>0</v>
      </c>
      <c r="F21" s="132"/>
      <c r="G21" s="132">
        <f>E21*1.03</f>
        <v>0</v>
      </c>
      <c r="H21" s="132"/>
      <c r="I21" s="132">
        <f>G21*1.03</f>
        <v>0</v>
      </c>
      <c r="J21" s="132"/>
      <c r="K21" s="132">
        <f>I21*1.03</f>
        <v>0</v>
      </c>
      <c r="L21" s="132"/>
      <c r="M21" s="132">
        <f>K21*1.03</f>
        <v>0</v>
      </c>
      <c r="N21" s="132"/>
      <c r="O21" s="132">
        <f>M21*1.03</f>
        <v>0</v>
      </c>
      <c r="P21" s="13"/>
      <c r="Q21" s="132">
        <f>O21*1.03</f>
        <v>0</v>
      </c>
      <c r="R21" s="13"/>
      <c r="S21" s="132">
        <f>Q21*1.03</f>
        <v>0</v>
      </c>
      <c r="T21" s="13"/>
      <c r="U21" s="132">
        <f>S21*1.03</f>
        <v>0</v>
      </c>
      <c r="V21" s="13"/>
      <c r="W21" s="132">
        <f>U21*1.03</f>
        <v>0</v>
      </c>
      <c r="X21" s="13"/>
      <c r="Y21" s="132">
        <f>W21*1.03</f>
        <v>0</v>
      </c>
      <c r="Z21" s="13"/>
      <c r="AA21" s="132">
        <f>Y21*1.03</f>
        <v>0</v>
      </c>
      <c r="AB21" s="13"/>
      <c r="AC21" s="132">
        <f>AA21*1.03</f>
        <v>0</v>
      </c>
      <c r="AD21" s="13"/>
      <c r="AE21" s="132">
        <f>AC21*1.03</f>
        <v>0</v>
      </c>
      <c r="AF21" s="13"/>
      <c r="AG21" s="133">
        <f>AE21*1.03</f>
        <v>0</v>
      </c>
    </row>
    <row r="22" ht="15.6" customHeight="1">
      <c r="A22" t="s" s="72">
        <v>75</v>
      </c>
      <c r="B22" s="73"/>
      <c r="C22" s="81">
        <f>'Inputs'!B48</f>
        <v>0</v>
      </c>
      <c r="D22" s="81"/>
      <c r="E22" s="132">
        <f>C22*1.03</f>
        <v>0</v>
      </c>
      <c r="F22" s="132"/>
      <c r="G22" s="132">
        <f>E22*1.03</f>
        <v>0</v>
      </c>
      <c r="H22" s="132"/>
      <c r="I22" s="132">
        <f>G22*1.03</f>
        <v>0</v>
      </c>
      <c r="J22" s="132"/>
      <c r="K22" s="132">
        <f>I22*1.03</f>
        <v>0</v>
      </c>
      <c r="L22" s="132"/>
      <c r="M22" s="132">
        <f>K22*1.03</f>
        <v>0</v>
      </c>
      <c r="N22" s="132"/>
      <c r="O22" s="132">
        <f>M22*1.03</f>
        <v>0</v>
      </c>
      <c r="P22" s="13"/>
      <c r="Q22" s="132">
        <f>O22*1.03</f>
        <v>0</v>
      </c>
      <c r="R22" s="13"/>
      <c r="S22" s="132">
        <f>Q22*1.03</f>
        <v>0</v>
      </c>
      <c r="T22" s="13"/>
      <c r="U22" s="132">
        <f>S22*1.03</f>
        <v>0</v>
      </c>
      <c r="V22" s="13"/>
      <c r="W22" s="132">
        <f>U22*1.03</f>
        <v>0</v>
      </c>
      <c r="X22" s="13"/>
      <c r="Y22" s="132">
        <f>W22*1.03</f>
        <v>0</v>
      </c>
      <c r="Z22" s="13"/>
      <c r="AA22" s="132">
        <f>Y22*1.03</f>
        <v>0</v>
      </c>
      <c r="AB22" s="13"/>
      <c r="AC22" s="132">
        <f>AA22*1.03</f>
        <v>0</v>
      </c>
      <c r="AD22" s="13"/>
      <c r="AE22" s="132">
        <f>AC22*1.03</f>
        <v>0</v>
      </c>
      <c r="AF22" s="13"/>
      <c r="AG22" s="133">
        <f>AE22*1.03</f>
        <v>0</v>
      </c>
    </row>
    <row r="23" ht="15.6" customHeight="1">
      <c r="A23" t="s" s="72">
        <v>76</v>
      </c>
      <c r="B23" s="73"/>
      <c r="C23" s="81">
        <f>'Inputs'!B49</f>
        <v>0</v>
      </c>
      <c r="D23" s="81"/>
      <c r="E23" s="132">
        <f>C23*1.03</f>
        <v>0</v>
      </c>
      <c r="F23" s="132"/>
      <c r="G23" s="132">
        <f>E23*1.03</f>
        <v>0</v>
      </c>
      <c r="H23" s="132"/>
      <c r="I23" s="132">
        <f>G23*1.03</f>
        <v>0</v>
      </c>
      <c r="J23" s="132"/>
      <c r="K23" s="132">
        <f>I23*1.03</f>
        <v>0</v>
      </c>
      <c r="L23" s="132"/>
      <c r="M23" s="132">
        <f>K23*1.03</f>
        <v>0</v>
      </c>
      <c r="N23" s="132"/>
      <c r="O23" s="132">
        <f>M23*1.03</f>
        <v>0</v>
      </c>
      <c r="P23" s="13"/>
      <c r="Q23" s="132">
        <f>O23*1.03</f>
        <v>0</v>
      </c>
      <c r="R23" s="13"/>
      <c r="S23" s="132">
        <f>Q23*1.03</f>
        <v>0</v>
      </c>
      <c r="T23" s="13"/>
      <c r="U23" s="132">
        <f>S23*1.03</f>
        <v>0</v>
      </c>
      <c r="V23" s="13"/>
      <c r="W23" s="132">
        <f>U23*1.03</f>
        <v>0</v>
      </c>
      <c r="X23" s="13"/>
      <c r="Y23" s="132">
        <f>W23*1.03</f>
        <v>0</v>
      </c>
      <c r="Z23" s="13"/>
      <c r="AA23" s="132">
        <f>Y23*1.03</f>
        <v>0</v>
      </c>
      <c r="AB23" s="13"/>
      <c r="AC23" s="132">
        <f>AA23*1.03</f>
        <v>0</v>
      </c>
      <c r="AD23" s="13"/>
      <c r="AE23" s="132">
        <f>AC23*1.03</f>
        <v>0</v>
      </c>
      <c r="AF23" s="13"/>
      <c r="AG23" s="133">
        <f>AE23*1.03</f>
        <v>0</v>
      </c>
    </row>
    <row r="24" ht="15.6" customHeight="1">
      <c r="A24" t="s" s="72">
        <v>47</v>
      </c>
      <c r="B24" s="73"/>
      <c r="C24" s="81">
        <f>'Inputs'!B50</f>
        <v>0</v>
      </c>
      <c r="D24" s="81"/>
      <c r="E24" s="132">
        <f>C24*1.03</f>
        <v>0</v>
      </c>
      <c r="F24" s="132"/>
      <c r="G24" s="132">
        <f>E24*1.03</f>
        <v>0</v>
      </c>
      <c r="H24" s="132"/>
      <c r="I24" s="132">
        <f>G24*1.03</f>
        <v>0</v>
      </c>
      <c r="J24" s="132"/>
      <c r="K24" s="132">
        <f>I24*1.03</f>
        <v>0</v>
      </c>
      <c r="L24" s="132"/>
      <c r="M24" s="132">
        <f>K24*1.03</f>
        <v>0</v>
      </c>
      <c r="N24" s="132"/>
      <c r="O24" s="132">
        <f>M24*1.03</f>
        <v>0</v>
      </c>
      <c r="P24" s="13"/>
      <c r="Q24" s="132">
        <f>O24*1.03</f>
        <v>0</v>
      </c>
      <c r="R24" s="13"/>
      <c r="S24" s="132">
        <f>Q24*1.03</f>
        <v>0</v>
      </c>
      <c r="T24" s="13"/>
      <c r="U24" s="132">
        <f>S24*1.03</f>
        <v>0</v>
      </c>
      <c r="V24" s="13"/>
      <c r="W24" s="132">
        <f>U24*1.03</f>
        <v>0</v>
      </c>
      <c r="X24" s="13"/>
      <c r="Y24" s="132">
        <f>W24*1.03</f>
        <v>0</v>
      </c>
      <c r="Z24" s="13"/>
      <c r="AA24" s="132">
        <f>Y24*1.03</f>
        <v>0</v>
      </c>
      <c r="AB24" s="13"/>
      <c r="AC24" s="132">
        <f>AA24*1.03</f>
        <v>0</v>
      </c>
      <c r="AD24" s="13"/>
      <c r="AE24" s="132">
        <f>AC24*1.03</f>
        <v>0</v>
      </c>
      <c r="AF24" s="13"/>
      <c r="AG24" s="133">
        <f>AE24*1.03</f>
        <v>0</v>
      </c>
    </row>
    <row r="25" ht="15.6" customHeight="1">
      <c r="A25" t="s" s="72">
        <f>'Inputs'!A51</f>
        <v>48</v>
      </c>
      <c r="B25" s="73"/>
      <c r="C25" s="81">
        <f>'Inputs'!B51</f>
        <v>2400</v>
      </c>
      <c r="D25" s="81"/>
      <c r="E25" s="132">
        <f>C25*1.03</f>
        <v>2472</v>
      </c>
      <c r="F25" s="132"/>
      <c r="G25" s="132">
        <f>E25*1.03</f>
        <v>2546.16</v>
      </c>
      <c r="H25" s="132"/>
      <c r="I25" s="132">
        <f>G25*1.03</f>
        <v>2622.5448</v>
      </c>
      <c r="J25" s="132"/>
      <c r="K25" s="132">
        <f>I25*1.03</f>
        <v>2701.221144</v>
      </c>
      <c r="L25" s="132"/>
      <c r="M25" s="132">
        <f>K25*1.03</f>
        <v>2782.25777832</v>
      </c>
      <c r="N25" s="132"/>
      <c r="O25" s="132">
        <f>M25*1.03</f>
        <v>2865.7255116696</v>
      </c>
      <c r="P25" s="13"/>
      <c r="Q25" s="132">
        <f>O25*1.03</f>
        <v>2951.697277019688</v>
      </c>
      <c r="R25" s="13"/>
      <c r="S25" s="132">
        <f>Q25*1.03</f>
        <v>3040.248195330279</v>
      </c>
      <c r="T25" s="13"/>
      <c r="U25" s="132">
        <f>S25*1.03</f>
        <v>3131.455641190187</v>
      </c>
      <c r="V25" s="13"/>
      <c r="W25" s="132">
        <f>U25*1.03</f>
        <v>3225.399310425893</v>
      </c>
      <c r="X25" s="13"/>
      <c r="Y25" s="132">
        <f>W25*1.03</f>
        <v>3322.161289738670</v>
      </c>
      <c r="Z25" s="13"/>
      <c r="AA25" s="132">
        <f>Y25*1.03</f>
        <v>3421.826128430830</v>
      </c>
      <c r="AB25" s="13"/>
      <c r="AC25" s="132">
        <f>AA25*1.03</f>
        <v>3524.480912283755</v>
      </c>
      <c r="AD25" s="13"/>
      <c r="AE25" s="132">
        <f>AC25*1.03</f>
        <v>3630.215339652268</v>
      </c>
      <c r="AF25" s="13"/>
      <c r="AG25" s="133">
        <f>AE25*1.03</f>
        <v>3739.121799841836</v>
      </c>
    </row>
    <row r="26" ht="15.6" customHeight="1">
      <c r="A26" t="s" s="72">
        <f>'Inputs'!A52</f>
        <v>49</v>
      </c>
      <c r="B26" s="73"/>
      <c r="C26" s="81">
        <f>'Inputs'!B52</f>
        <v>0</v>
      </c>
      <c r="D26" s="81"/>
      <c r="E26" s="132">
        <f>C26*1.03</f>
        <v>0</v>
      </c>
      <c r="F26" s="132"/>
      <c r="G26" s="132">
        <f>E26*1.03</f>
        <v>0</v>
      </c>
      <c r="H26" s="132"/>
      <c r="I26" s="132">
        <f>G26*1.03</f>
        <v>0</v>
      </c>
      <c r="J26" s="132"/>
      <c r="K26" s="132">
        <f>I26*1.03</f>
        <v>0</v>
      </c>
      <c r="L26" s="132"/>
      <c r="M26" s="132">
        <f>K26*1.03</f>
        <v>0</v>
      </c>
      <c r="N26" s="132"/>
      <c r="O26" s="132">
        <f>M26*1.03</f>
        <v>0</v>
      </c>
      <c r="P26" s="13"/>
      <c r="Q26" s="132">
        <f>O26*1.03</f>
        <v>0</v>
      </c>
      <c r="R26" s="13"/>
      <c r="S26" s="132">
        <f>Q26*1.03</f>
        <v>0</v>
      </c>
      <c r="T26" s="13"/>
      <c r="U26" s="132">
        <f>S26*1.03</f>
        <v>0</v>
      </c>
      <c r="V26" s="13"/>
      <c r="W26" s="132">
        <f>U26*1.03</f>
        <v>0</v>
      </c>
      <c r="X26" s="13"/>
      <c r="Y26" s="132">
        <f>W26*1.03</f>
        <v>0</v>
      </c>
      <c r="Z26" s="13"/>
      <c r="AA26" s="132">
        <f>Y26*1.03</f>
        <v>0</v>
      </c>
      <c r="AB26" s="13"/>
      <c r="AC26" s="132">
        <f>AA26*1.03</f>
        <v>0</v>
      </c>
      <c r="AD26" s="13"/>
      <c r="AE26" s="132">
        <f>AC26*1.03</f>
        <v>0</v>
      </c>
      <c r="AF26" s="13"/>
      <c r="AG26" s="133">
        <f>AE26*1.03</f>
        <v>0</v>
      </c>
    </row>
    <row r="27" ht="15.6" customHeight="1">
      <c r="A27" t="s" s="72">
        <f>'Inputs'!A53</f>
        <v>49</v>
      </c>
      <c r="B27" s="73"/>
      <c r="C27" s="81">
        <f>'Inputs'!B53</f>
        <v>0</v>
      </c>
      <c r="D27" s="81"/>
      <c r="E27" s="132">
        <f>C27*1.03</f>
        <v>0</v>
      </c>
      <c r="F27" s="132"/>
      <c r="G27" s="132">
        <f>E27*1.03</f>
        <v>0</v>
      </c>
      <c r="H27" s="132"/>
      <c r="I27" s="132">
        <f>G27*1.03</f>
        <v>0</v>
      </c>
      <c r="J27" s="132"/>
      <c r="K27" s="132">
        <f>I27*1.03</f>
        <v>0</v>
      </c>
      <c r="L27" s="132"/>
      <c r="M27" s="132">
        <f>K27*1.03</f>
        <v>0</v>
      </c>
      <c r="N27" s="132"/>
      <c r="O27" s="132">
        <f>M27*1.03</f>
        <v>0</v>
      </c>
      <c r="P27" s="13"/>
      <c r="Q27" s="132">
        <f>O27*1.03</f>
        <v>0</v>
      </c>
      <c r="R27" s="13"/>
      <c r="S27" s="132">
        <f>Q27*1.03</f>
        <v>0</v>
      </c>
      <c r="T27" s="13"/>
      <c r="U27" s="132">
        <f>S27*1.03</f>
        <v>0</v>
      </c>
      <c r="V27" s="13"/>
      <c r="W27" s="132">
        <f>U27*1.03</f>
        <v>0</v>
      </c>
      <c r="X27" s="13"/>
      <c r="Y27" s="132">
        <f>W27*1.03</f>
        <v>0</v>
      </c>
      <c r="Z27" s="13"/>
      <c r="AA27" s="132">
        <f>Y27*1.03</f>
        <v>0</v>
      </c>
      <c r="AB27" s="13"/>
      <c r="AC27" s="132">
        <f>AA27*1.03</f>
        <v>0</v>
      </c>
      <c r="AD27" s="13"/>
      <c r="AE27" s="132">
        <f>AC27*1.03</f>
        <v>0</v>
      </c>
      <c r="AF27" s="13"/>
      <c r="AG27" s="133">
        <f>AE27*1.03</f>
        <v>0</v>
      </c>
    </row>
    <row r="28" ht="15.6" customHeight="1">
      <c r="A28" t="s" s="72">
        <f>'Inputs'!A54</f>
        <v>49</v>
      </c>
      <c r="B28" s="73"/>
      <c r="C28" s="81">
        <f>'Inputs'!B54</f>
        <v>0</v>
      </c>
      <c r="D28" s="81"/>
      <c r="E28" s="132">
        <f>C28*1.03</f>
        <v>0</v>
      </c>
      <c r="F28" s="132"/>
      <c r="G28" s="132">
        <f>E28*1.03</f>
        <v>0</v>
      </c>
      <c r="H28" s="132"/>
      <c r="I28" s="132">
        <f>G28*1.03</f>
        <v>0</v>
      </c>
      <c r="J28" s="132"/>
      <c r="K28" s="132">
        <f>I28*1.03</f>
        <v>0</v>
      </c>
      <c r="L28" s="132"/>
      <c r="M28" s="132">
        <f>K28*1.03</f>
        <v>0</v>
      </c>
      <c r="N28" s="132"/>
      <c r="O28" s="132">
        <f>M28*1.03</f>
        <v>0</v>
      </c>
      <c r="P28" s="13"/>
      <c r="Q28" s="132">
        <f>O28*1.03</f>
        <v>0</v>
      </c>
      <c r="R28" s="13"/>
      <c r="S28" s="132">
        <f>Q28*1.03</f>
        <v>0</v>
      </c>
      <c r="T28" s="13"/>
      <c r="U28" s="132">
        <f>S28*1.03</f>
        <v>0</v>
      </c>
      <c r="V28" s="13"/>
      <c r="W28" s="132">
        <f>U28*1.03</f>
        <v>0</v>
      </c>
      <c r="X28" s="13"/>
      <c r="Y28" s="132">
        <f>W28*1.03</f>
        <v>0</v>
      </c>
      <c r="Z28" s="13"/>
      <c r="AA28" s="132">
        <f>Y28*1.03</f>
        <v>0</v>
      </c>
      <c r="AB28" s="13"/>
      <c r="AC28" s="132">
        <f>AA28*1.03</f>
        <v>0</v>
      </c>
      <c r="AD28" s="13"/>
      <c r="AE28" s="132">
        <f>AC28*1.03</f>
        <v>0</v>
      </c>
      <c r="AF28" s="13"/>
      <c r="AG28" s="133">
        <f>AE28*1.03</f>
        <v>0</v>
      </c>
    </row>
    <row r="29" ht="15.6" customHeight="1">
      <c r="A29" t="s" s="72">
        <f>'Inputs'!A55</f>
        <v>49</v>
      </c>
      <c r="B29" s="73"/>
      <c r="C29" s="81">
        <f>'Inputs'!B55</f>
        <v>0</v>
      </c>
      <c r="D29" s="81"/>
      <c r="E29" s="132">
        <f>C29*1.03</f>
        <v>0</v>
      </c>
      <c r="F29" s="132"/>
      <c r="G29" s="132">
        <f>E29*1.03</f>
        <v>0</v>
      </c>
      <c r="H29" s="132"/>
      <c r="I29" s="132">
        <f>G29*1.03</f>
        <v>0</v>
      </c>
      <c r="J29" s="132"/>
      <c r="K29" s="132">
        <f>I29*1.03</f>
        <v>0</v>
      </c>
      <c r="L29" s="132"/>
      <c r="M29" s="132">
        <f>K29*1.03</f>
        <v>0</v>
      </c>
      <c r="N29" s="132"/>
      <c r="O29" s="132">
        <f>M29*1.03</f>
        <v>0</v>
      </c>
      <c r="P29" s="13"/>
      <c r="Q29" s="132">
        <f>O29*1.03</f>
        <v>0</v>
      </c>
      <c r="R29" s="13"/>
      <c r="S29" s="132">
        <f>Q29*1.03</f>
        <v>0</v>
      </c>
      <c r="T29" s="13"/>
      <c r="U29" s="132">
        <f>S29*1.03</f>
        <v>0</v>
      </c>
      <c r="V29" s="13"/>
      <c r="W29" s="132">
        <f>U29*1.03</f>
        <v>0</v>
      </c>
      <c r="X29" s="13"/>
      <c r="Y29" s="132">
        <f>W29*1.03</f>
        <v>0</v>
      </c>
      <c r="Z29" s="13"/>
      <c r="AA29" s="132">
        <f>Y29*1.03</f>
        <v>0</v>
      </c>
      <c r="AB29" s="13"/>
      <c r="AC29" s="132">
        <f>AA29*1.03</f>
        <v>0</v>
      </c>
      <c r="AD29" s="13"/>
      <c r="AE29" s="132">
        <f>AC29*1.03</f>
        <v>0</v>
      </c>
      <c r="AF29" s="13"/>
      <c r="AG29" s="133">
        <f>AE29*1.03</f>
        <v>0</v>
      </c>
    </row>
    <row r="30" ht="16.2" customHeight="1">
      <c r="A30" t="s" s="72">
        <f>'Inputs'!A56</f>
        <v>49</v>
      </c>
      <c r="B30" s="73"/>
      <c r="C30" s="86">
        <f>'Inputs'!B56</f>
        <v>0</v>
      </c>
      <c r="D30" s="81"/>
      <c r="E30" s="134">
        <f>C30*1.03</f>
        <v>0</v>
      </c>
      <c r="F30" s="132"/>
      <c r="G30" s="134">
        <f>E30*1.03</f>
        <v>0</v>
      </c>
      <c r="H30" s="132"/>
      <c r="I30" s="134">
        <f>G30*1.03</f>
        <v>0</v>
      </c>
      <c r="J30" s="132"/>
      <c r="K30" s="134">
        <f>I30*1.03</f>
        <v>0</v>
      </c>
      <c r="L30" s="132"/>
      <c r="M30" s="134">
        <f>K30*1.03</f>
        <v>0</v>
      </c>
      <c r="N30" s="132"/>
      <c r="O30" s="134">
        <f>M30*1.03</f>
        <v>0</v>
      </c>
      <c r="P30" s="13"/>
      <c r="Q30" s="134">
        <f>O30*1.03</f>
        <v>0</v>
      </c>
      <c r="R30" s="13"/>
      <c r="S30" s="134">
        <f>Q30*1.03</f>
        <v>0</v>
      </c>
      <c r="T30" s="13"/>
      <c r="U30" s="134">
        <f>S30*1.03</f>
        <v>0</v>
      </c>
      <c r="V30" s="13"/>
      <c r="W30" s="134">
        <f>U30*1.03</f>
        <v>0</v>
      </c>
      <c r="X30" s="13"/>
      <c r="Y30" s="134">
        <f>W30*1.03</f>
        <v>0</v>
      </c>
      <c r="Z30" s="13"/>
      <c r="AA30" s="134">
        <f>Y30*1.03</f>
        <v>0</v>
      </c>
      <c r="AB30" s="13"/>
      <c r="AC30" s="134">
        <f>AA30*1.03</f>
        <v>0</v>
      </c>
      <c r="AD30" s="13"/>
      <c r="AE30" s="134">
        <f>AC30*1.03</f>
        <v>0</v>
      </c>
      <c r="AF30" s="13"/>
      <c r="AG30" s="135">
        <f>AE30*1.03</f>
        <v>0</v>
      </c>
    </row>
    <row r="31" ht="15.6" customHeight="1">
      <c r="A31" t="s" s="69">
        <v>77</v>
      </c>
      <c r="B31" s="73"/>
      <c r="C31" s="89">
        <f>SUM(C16:C30)</f>
        <v>6512.6</v>
      </c>
      <c r="D31" s="81"/>
      <c r="E31" s="89">
        <f>SUM(E16:E30)</f>
        <v>6735.728</v>
      </c>
      <c r="F31" s="132"/>
      <c r="G31" s="89">
        <f>SUM(G16:G30)</f>
        <v>6967.214840000001</v>
      </c>
      <c r="H31" s="132"/>
      <c r="I31" s="89">
        <f>SUM(I16:I30)</f>
        <v>7207.411185200001</v>
      </c>
      <c r="J31" s="132"/>
      <c r="K31" s="89">
        <f>SUM(K16:K30)</f>
        <v>7456.684214756001</v>
      </c>
      <c r="L31" s="96"/>
      <c r="M31" s="89">
        <f>SUM(M16:M30)</f>
        <v>7715.418476838680</v>
      </c>
      <c r="N31" s="96"/>
      <c r="O31" s="89">
        <f>SUM(O16:O30)</f>
        <v>7984.016790922242</v>
      </c>
      <c r="P31" s="13"/>
      <c r="Q31" s="89">
        <f>SUM(Q16:Q30)</f>
        <v>8262.901200015014</v>
      </c>
      <c r="R31" s="13"/>
      <c r="S31" s="89">
        <f>SUM(S16:S30)</f>
        <v>8552.513975702474</v>
      </c>
      <c r="T31" s="13"/>
      <c r="U31" s="89">
        <f>SUM(U16:U30)</f>
        <v>8853.318679041780</v>
      </c>
      <c r="V31" s="13"/>
      <c r="W31" s="89">
        <f>SUM(W16:W30)</f>
        <v>9165.801280525358</v>
      </c>
      <c r="X31" s="13"/>
      <c r="Y31" s="89">
        <f>SUM(Y16:Y30)</f>
        <v>9490.471342520183</v>
      </c>
      <c r="Z31" s="13"/>
      <c r="AA31" s="89">
        <f>SUM(AA16:AA30)</f>
        <v>9827.863267789597</v>
      </c>
      <c r="AB31" s="13"/>
      <c r="AC31" s="89">
        <f>SUM(AC16:AC30)</f>
        <v>10178.537617916722</v>
      </c>
      <c r="AD31" s="13"/>
      <c r="AE31" s="89">
        <f>SUM(AE16:AE30)</f>
        <v>10543.082505673266</v>
      </c>
      <c r="AF31" s="13"/>
      <c r="AG31" s="136">
        <f>SUM(AG16:AG30)</f>
        <v>10922.115065615650</v>
      </c>
    </row>
    <row r="32" ht="15.6" customHeight="1">
      <c r="A32" s="90"/>
      <c r="B32" s="73"/>
      <c r="C32" s="81"/>
      <c r="D32" s="81"/>
      <c r="E32" s="132"/>
      <c r="F32" s="132"/>
      <c r="G32" s="132"/>
      <c r="H32" s="132"/>
      <c r="I32" s="132"/>
      <c r="J32" s="132"/>
      <c r="K32" s="132"/>
      <c r="L32" s="132"/>
      <c r="M32" s="132"/>
      <c r="N32" s="132"/>
      <c r="O32" s="132"/>
      <c r="P32" s="13"/>
      <c r="Q32" s="132"/>
      <c r="R32" s="13"/>
      <c r="S32" s="132"/>
      <c r="T32" s="13"/>
      <c r="U32" s="132"/>
      <c r="V32" s="13"/>
      <c r="W32" s="132"/>
      <c r="X32" s="13"/>
      <c r="Y32" s="132"/>
      <c r="Z32" s="13"/>
      <c r="AA32" s="132"/>
      <c r="AB32" s="13"/>
      <c r="AC32" s="132"/>
      <c r="AD32" s="13"/>
      <c r="AE32" s="132"/>
      <c r="AF32" s="13"/>
      <c r="AG32" s="133"/>
    </row>
    <row r="33" ht="15.6" customHeight="1">
      <c r="A33" t="s" s="69">
        <v>78</v>
      </c>
      <c r="B33" s="73"/>
      <c r="C33" s="96">
        <f>C13-C31</f>
        <v>15101.8</v>
      </c>
      <c r="D33" s="81"/>
      <c r="E33" s="96">
        <f>E13-E31</f>
        <v>15959.392</v>
      </c>
      <c r="F33" s="132"/>
      <c r="G33" s="96">
        <f>G13-G31</f>
        <v>16862.66116</v>
      </c>
      <c r="H33" s="132"/>
      <c r="I33" s="96">
        <f>I13-I31</f>
        <v>17813.9586148</v>
      </c>
      <c r="J33" s="132"/>
      <c r="K33" s="96">
        <f>K13-K31</f>
        <v>18815.754075244</v>
      </c>
      <c r="L33" s="96"/>
      <c r="M33" s="96">
        <f>M13-M31</f>
        <v>19870.641727661325</v>
      </c>
      <c r="N33" s="96"/>
      <c r="O33" s="96">
        <f>O13-O31</f>
        <v>20981.346423802766</v>
      </c>
      <c r="P33" s="13"/>
      <c r="Q33" s="96">
        <f>Q13-Q31</f>
        <v>22150.730175446246</v>
      </c>
      <c r="R33" s="13"/>
      <c r="S33" s="96">
        <f>S13-S31</f>
        <v>23381.798968531853</v>
      </c>
      <c r="T33" s="13"/>
      <c r="U33" s="96">
        <f>U13-U31</f>
        <v>24677.709912404258</v>
      </c>
      <c r="V33" s="13"/>
      <c r="W33" s="96">
        <f>W13-W31</f>
        <v>26041.778740492991</v>
      </c>
      <c r="X33" s="13"/>
      <c r="Y33" s="96">
        <f>Y13-Y31</f>
        <v>27477.487679549085</v>
      </c>
      <c r="Z33" s="13"/>
      <c r="AA33" s="96">
        <f>AA13-AA31</f>
        <v>28988.493705383138</v>
      </c>
      <c r="AB33" s="13"/>
      <c r="AC33" s="96">
        <f>AC13-AC31</f>
        <v>30578.637203914652</v>
      </c>
      <c r="AD33" s="13"/>
      <c r="AE33" s="96">
        <f>AE13-AE31</f>
        <v>32251.951057249673</v>
      </c>
      <c r="AF33" s="13"/>
      <c r="AG33" s="137">
        <f>AG13-AG31</f>
        <v>34012.670175453444</v>
      </c>
    </row>
    <row r="34" ht="15" customHeight="1">
      <c r="A34" s="24"/>
      <c r="B34" s="13"/>
      <c r="C34" s="132"/>
      <c r="D34" s="132"/>
      <c r="E34" s="132"/>
      <c r="F34" s="132"/>
      <c r="G34" s="132"/>
      <c r="H34" s="132"/>
      <c r="I34" s="132"/>
      <c r="J34" s="132"/>
      <c r="K34" s="132"/>
      <c r="L34" s="132"/>
      <c r="M34" s="132"/>
      <c r="N34" s="132"/>
      <c r="O34" s="132"/>
      <c r="P34" s="13"/>
      <c r="Q34" s="132"/>
      <c r="R34" s="13"/>
      <c r="S34" s="132"/>
      <c r="T34" s="13"/>
      <c r="U34" s="132"/>
      <c r="V34" s="13"/>
      <c r="W34" s="132"/>
      <c r="X34" s="13"/>
      <c r="Y34" s="132"/>
      <c r="Z34" s="13"/>
      <c r="AA34" s="132"/>
      <c r="AB34" s="13"/>
      <c r="AC34" s="132"/>
      <c r="AD34" s="13"/>
      <c r="AE34" s="132"/>
      <c r="AF34" s="13"/>
      <c r="AG34" s="133"/>
    </row>
    <row r="35" ht="15.6" customHeight="1">
      <c r="A35" t="s" s="72">
        <v>79</v>
      </c>
      <c r="B35" s="13"/>
      <c r="C35" s="81">
        <f>IF(C40&gt;0,PMT('Inputs'!B24/12,'Inputs'!B25*12,'Inputs'!B19,0)*12,0)</f>
        <v>-9254.511287566987</v>
      </c>
      <c r="D35" s="132"/>
      <c r="E35" s="81">
        <f>IF(C40&gt;0,PMT('Inputs'!$B$24/12,'Inputs'!B25*12,'Inputs'!$B$19,0)*12,0)</f>
        <v>-9254.511287566987</v>
      </c>
      <c r="F35" s="132"/>
      <c r="G35" s="81">
        <f>IF(E40&gt;0,PMT('Inputs'!$B$24/12,'Inputs'!B25*12,'Inputs'!$B$19,0)*12,0)</f>
        <v>-9254.511287566987</v>
      </c>
      <c r="H35" s="132"/>
      <c r="I35" s="81">
        <f>IF(G40&gt;0,PMT('Inputs'!$B$24/12,'Inputs'!B25*12,'Inputs'!$B$19,0)*12,0)</f>
        <v>-9254.511287566987</v>
      </c>
      <c r="J35" s="132"/>
      <c r="K35" s="81">
        <f>IF(I40&gt;0,PMT('Inputs'!$B$24/12,'Inputs'!B25*12,'Inputs'!$B$19,0)*12)</f>
        <v>-9254.511287566987</v>
      </c>
      <c r="L35" s="81"/>
      <c r="M35" s="81">
        <f>IF(K40&gt;0,PMT('Inputs'!B24/12,'Inputs'!B25*12,'Inputs'!B19,0)*12,0)</f>
        <v>-9254.511287566987</v>
      </c>
      <c r="N35" s="81"/>
      <c r="O35" s="81">
        <f>IF(M40&gt;0,PMT('Inputs'!B24/12,'Inputs'!B25*12,'Inputs'!B19,0)*12)</f>
        <v>-9254.511287566987</v>
      </c>
      <c r="P35" s="13"/>
      <c r="Q35" s="81">
        <f>IF(O40&gt;0,PMT('Inputs'!B24/12,'Inputs'!B25*12,'Inputs'!B19,0)*12)</f>
        <v>-9254.511287566987</v>
      </c>
      <c r="R35" s="13"/>
      <c r="S35" s="81">
        <f>IF(Q40&gt;0,PMT('Inputs'!B24/12,'Inputs'!B25*12,'Inputs'!B19,0)*12,0)</f>
        <v>-9254.511287566987</v>
      </c>
      <c r="T35" s="13"/>
      <c r="U35" s="81">
        <f>IF(S40&gt;0,PMT('Inputs'!B24/12,'Inputs'!B25*12,'Inputs'!B19,0)*12,0)</f>
        <v>-9254.511287566987</v>
      </c>
      <c r="V35" s="13"/>
      <c r="W35" s="81">
        <f>IF(U40&gt;0,PMT('Inputs'!B24/12,'Inputs'!B25*12,'Inputs'!B19,0)*12,0)</f>
        <v>-9254.511287566987</v>
      </c>
      <c r="X35" s="13"/>
      <c r="Y35" s="81">
        <f>IF(W40&gt;0,PMT('Inputs'!B24/12,'Inputs'!B25*12,'Inputs'!B19,0)*12,0)</f>
        <v>-9254.511287566987</v>
      </c>
      <c r="Z35" s="13"/>
      <c r="AA35" s="81">
        <f>IF(Y40&gt;0,PMT('Inputs'!B24/12,'Inputs'!B25*12,'Inputs'!B19,0)*12,0)</f>
        <v>-9254.511287566987</v>
      </c>
      <c r="AB35" s="13"/>
      <c r="AC35" s="81">
        <f>IF(AA40&gt;0,PMT('Inputs'!B24/12,'Inputs'!B25*12,'Inputs'!B19,0)*12,0)</f>
        <v>-9254.511287566987</v>
      </c>
      <c r="AD35" s="13"/>
      <c r="AE35" s="81">
        <f>IF(AC40&gt;0,PMT('Inputs'!B24/12,'Inputs'!B25*12,'Inputs'!B19,0)*12,0)</f>
        <v>-9254.511287566987</v>
      </c>
      <c r="AF35" s="13"/>
      <c r="AG35" s="138">
        <f>IF(AE40&gt;0,PMT('Inputs'!B24/12,'Inputs'!B25*12,'Inputs'!B19,0)*12,0)</f>
        <v>-9254.511287566987</v>
      </c>
    </row>
    <row r="36" ht="16.2" customHeight="1">
      <c r="A36" s="24"/>
      <c r="B36" s="13"/>
      <c r="C36" s="134"/>
      <c r="D36" s="132"/>
      <c r="E36" s="134"/>
      <c r="F36" s="132"/>
      <c r="G36" s="134"/>
      <c r="H36" s="132"/>
      <c r="I36" s="134"/>
      <c r="J36" s="132"/>
      <c r="K36" s="134"/>
      <c r="L36" s="132"/>
      <c r="M36" s="86"/>
      <c r="N36" s="132"/>
      <c r="O36" s="134"/>
      <c r="P36" s="13"/>
      <c r="Q36" s="134"/>
      <c r="R36" s="13"/>
      <c r="S36" s="134"/>
      <c r="T36" s="13"/>
      <c r="U36" s="134"/>
      <c r="V36" s="13"/>
      <c r="W36" s="134"/>
      <c r="X36" s="13"/>
      <c r="Y36" s="134"/>
      <c r="Z36" s="13"/>
      <c r="AA36" s="134"/>
      <c r="AB36" s="13"/>
      <c r="AC36" s="134"/>
      <c r="AD36" s="13"/>
      <c r="AE36" s="134"/>
      <c r="AF36" s="13"/>
      <c r="AG36" s="135"/>
    </row>
    <row r="37" ht="18.6" customHeight="1">
      <c r="A37" t="s" s="71">
        <v>83</v>
      </c>
      <c r="B37" s="105"/>
      <c r="C37" s="139">
        <f>C33+C35</f>
        <v>5847.288712433014</v>
      </c>
      <c r="D37" s="132"/>
      <c r="E37" s="139">
        <f>E33+E35</f>
        <v>6704.880712433016</v>
      </c>
      <c r="F37" s="132"/>
      <c r="G37" s="139">
        <f>G33+G35</f>
        <v>7608.149872433012</v>
      </c>
      <c r="H37" s="132"/>
      <c r="I37" s="139">
        <f>I33+I35</f>
        <v>8559.447327233014</v>
      </c>
      <c r="J37" s="132"/>
      <c r="K37" s="139">
        <f>K33+K35</f>
        <v>9561.242787677016</v>
      </c>
      <c r="L37" s="140"/>
      <c r="M37" s="139">
        <f>M33+M35</f>
        <v>10616.130440094337</v>
      </c>
      <c r="N37" s="140"/>
      <c r="O37" s="139">
        <f>O33+O35</f>
        <v>11726.835136235779</v>
      </c>
      <c r="P37" s="13"/>
      <c r="Q37" s="139">
        <f>Q33+Q35</f>
        <v>12896.218887879259</v>
      </c>
      <c r="R37" s="13"/>
      <c r="S37" s="139">
        <f>S33+S35</f>
        <v>14127.287680964866</v>
      </c>
      <c r="T37" s="13"/>
      <c r="U37" s="139">
        <f>U33+U35</f>
        <v>15423.198624837270</v>
      </c>
      <c r="V37" s="13"/>
      <c r="W37" s="139">
        <f>W33+W35</f>
        <v>16787.267452926</v>
      </c>
      <c r="X37" s="13"/>
      <c r="Y37" s="139">
        <f>Y33+Y35</f>
        <v>18222.9763919821</v>
      </c>
      <c r="Z37" s="13"/>
      <c r="AA37" s="139">
        <f>AA33+AA35</f>
        <v>19733.982417816151</v>
      </c>
      <c r="AB37" s="13"/>
      <c r="AC37" s="139">
        <f>AC33+AC35</f>
        <v>21324.125916347664</v>
      </c>
      <c r="AD37" s="13"/>
      <c r="AE37" s="139">
        <f>AE33+AE35</f>
        <v>22997.439769682685</v>
      </c>
      <c r="AF37" s="13"/>
      <c r="AG37" s="141">
        <f>AG33+AG35</f>
        <v>24758.158887886457</v>
      </c>
    </row>
    <row r="38" ht="15" customHeight="1">
      <c r="A38" s="24"/>
      <c r="B38" s="13"/>
      <c r="C38" s="142"/>
      <c r="D38" s="132"/>
      <c r="E38" s="142"/>
      <c r="F38" s="132"/>
      <c r="G38" s="142"/>
      <c r="H38" s="132"/>
      <c r="I38" s="142"/>
      <c r="J38" s="132"/>
      <c r="K38" s="142"/>
      <c r="L38" s="132"/>
      <c r="M38" s="142"/>
      <c r="N38" s="132"/>
      <c r="O38" s="142"/>
      <c r="P38" s="13"/>
      <c r="Q38" s="142"/>
      <c r="R38" s="13"/>
      <c r="S38" s="142"/>
      <c r="T38" s="13"/>
      <c r="U38" s="142"/>
      <c r="V38" s="13"/>
      <c r="W38" s="142"/>
      <c r="X38" s="13"/>
      <c r="Y38" s="142"/>
      <c r="Z38" s="13"/>
      <c r="AA38" s="142"/>
      <c r="AB38" s="13"/>
      <c r="AC38" s="142"/>
      <c r="AD38" s="13"/>
      <c r="AE38" s="142"/>
      <c r="AF38" s="13"/>
      <c r="AG38" s="143"/>
    </row>
    <row r="39" ht="15.6" customHeight="1">
      <c r="A39" t="s" s="50">
        <v>107</v>
      </c>
      <c r="B39" s="13"/>
      <c r="C39" s="81">
        <f>'Inputs'!B15*(1+'Inputs'!B39)</f>
        <v>212000</v>
      </c>
      <c r="D39" s="81"/>
      <c r="E39" s="81">
        <f>C39*(1+'Inputs'!$B$39)</f>
        <v>224720</v>
      </c>
      <c r="F39" s="81"/>
      <c r="G39" s="81">
        <f>E39*(1+'Inputs'!$B$39)</f>
        <v>238203.2</v>
      </c>
      <c r="H39" s="81"/>
      <c r="I39" s="81">
        <f>G39*(1+'Inputs'!$B$39)</f>
        <v>252495.392</v>
      </c>
      <c r="J39" s="81"/>
      <c r="K39" s="81">
        <f>I39*(1+'Inputs'!$B$39)</f>
        <v>267645.1155200001</v>
      </c>
      <c r="L39" s="81"/>
      <c r="M39" s="81">
        <f>K39*(1+'Inputs'!$B$39)</f>
        <v>283703.8224512</v>
      </c>
      <c r="N39" s="81"/>
      <c r="O39" s="81">
        <f>M39*(1+'Inputs'!$B$39)</f>
        <v>300726.0517982721</v>
      </c>
      <c r="P39" s="13"/>
      <c r="Q39" s="81">
        <f>O39*(1+'Inputs'!$B$39)</f>
        <v>318769.6149061684</v>
      </c>
      <c r="R39" s="13"/>
      <c r="S39" s="81">
        <f>Q39*(1+'Inputs'!$B$39)</f>
        <v>337895.7918005385</v>
      </c>
      <c r="T39" s="13"/>
      <c r="U39" s="81">
        <f>S39*(1+'Inputs'!$B$39)</f>
        <v>358169.5393085708</v>
      </c>
      <c r="V39" s="13"/>
      <c r="W39" s="81">
        <f>U39*(1+'Inputs'!$B$39)</f>
        <v>379659.7116670851</v>
      </c>
      <c r="X39" s="13"/>
      <c r="Y39" s="81">
        <f>W39*(1+'Inputs'!$B$39)</f>
        <v>402439.2943671102</v>
      </c>
      <c r="Z39" s="13"/>
      <c r="AA39" s="81">
        <f>Y39*(1+'Inputs'!$B$39)</f>
        <v>426585.6520291369</v>
      </c>
      <c r="AB39" s="13"/>
      <c r="AC39" s="81">
        <f>AA39*(1+'Inputs'!$B$39)</f>
        <v>452180.7911508851</v>
      </c>
      <c r="AD39" s="13"/>
      <c r="AE39" s="81">
        <f>AC39*(1+'Inputs'!$B$39)</f>
        <v>479311.6386199382</v>
      </c>
      <c r="AF39" s="13"/>
      <c r="AG39" s="138">
        <f>AE39*(1+'Inputs'!$B$39)</f>
        <v>508070.3369371346</v>
      </c>
    </row>
    <row r="40" ht="15.6" customHeight="1">
      <c r="A40" t="s" s="50">
        <v>108</v>
      </c>
      <c r="B40" s="13"/>
      <c r="C40" s="144">
        <f>IF(('Inputs'!B19+CUMPRINC('Inputs'!$B$24/12,'Inputs'!B25*12,'Inputs'!$B$19,1,12,0)-'Inputs'!B26*12)&gt;0,'Inputs'!B19+CUMPRINC('Inputs'!$B$24/12,'Inputs'!B25*12,'Inputs'!$B$19,1,12,0)-'Inputs'!B26*12,0)</f>
        <v>147633.2363926253</v>
      </c>
      <c r="D40" s="81"/>
      <c r="E40" s="145">
        <f>IF((C40+CUMPRINC('Inputs'!$B$24/12,'Inputs'!B25*12,'Inputs'!$B$19,13,24,0)-'Inputs'!B26*12)&gt;0,(C40+CUMPRINC('Inputs'!$B$24/12,'Inputs'!B25*12,'Inputs'!$B$19,13,24,0)-'Inputs'!B26*12),0)</f>
        <v>145154.6595141411</v>
      </c>
      <c r="F40" s="81"/>
      <c r="G40" s="144">
        <f>IF((E40+CUMPRINC('Inputs'!$B$24/12,'Inputs'!B25*12,'Inputs'!$B$19,25,36,0)-'Inputs'!B26*12)&gt;0,E40+CUMPRINC('Inputs'!$B$24/12,'Inputs'!B25*12,'Inputs'!$B$19,25,36,0)-'Inputs'!B26*12,0)</f>
        <v>142558.9869579916</v>
      </c>
      <c r="H40" s="81"/>
      <c r="I40" s="145">
        <f>IF((G40+CUMPRINC('Inputs'!$B$24/12,'Inputs'!B25*12,'Inputs'!$B$19,37,48,0)-'Inputs'!B26*12)&gt;0,G40+CUMPRINC('Inputs'!$B$24/12,'Inputs'!B25*12,'Inputs'!$B$19,37,48,0)-'Inputs'!B26*12,0)</f>
        <v>139840.6867603118</v>
      </c>
      <c r="J40" s="81"/>
      <c r="K40" s="144">
        <f>IF((I40+CUMPRINC('Inputs'!$B$24/12,'Inputs'!B25*12,'Inputs'!$B$19,49,60,0)-'Inputs'!B26*12)&gt;0,I40+CUMPRINC('Inputs'!$B$24/12,'Inputs'!B25*12,'Inputs'!$B$19,49,60,0)-'Inputs'!B26*12,0)</f>
        <v>136993.9656100651</v>
      </c>
      <c r="L40" s="81"/>
      <c r="M40" s="145">
        <f>IF((K40+CUMPRINC('Inputs'!$B$24/12,'Inputs'!B25*12,'Inputs'!$B$19,61,72,0)-'Inputs'!B26*12)&gt;0,K40+CUMPRINC('Inputs'!$B$24/12,'Inputs'!B25*12,'Inputs'!$B$19,61,72,0)-'Inputs'!B26*12,0)</f>
        <v>134012.75650219</v>
      </c>
      <c r="N40" s="81"/>
      <c r="O40" s="144">
        <f>IF((M40+CUMPRINC('Inputs'!$B$24/12,'Inputs'!B25*12,'Inputs'!$B$19,73,84,0)-'Inputs'!B26*12)&gt;0,M40+CUMPRINC('Inputs'!$B$24/12,'Inputs'!B25*12,'Inputs'!$B$19,73,84,0)-'Inputs'!B26*12,0)</f>
        <v>130890.7058074432</v>
      </c>
      <c r="P40" s="13"/>
      <c r="Q40" s="145">
        <f>IF((O40+CUMPRINC('Inputs'!$B$24/12,'Inputs'!B25*12,'Inputs'!$B$19,85,96,0)-'Inputs'!B26*12)&gt;0,O40+CUMPRINC('Inputs'!$B$24/12,'Inputs'!B25*12,'Inputs'!$B$19,85,96,0)-'Inputs'!B26*12,0)</f>
        <v>127621.1597313828</v>
      </c>
      <c r="R40" s="13"/>
      <c r="S40" s="144">
        <f>IF((Q40+CUMPRINC('Inputs'!$B$24/12,'Inputs'!B25*12,'Inputs'!$B$19,97,108,0)-'Inputs'!B26*12)&gt;0,Q40+CUMPRINC('Inputs'!$B$24/12,'Inputs'!B25*12,'Inputs'!$B$19,97,108,0)-'Inputs'!B26*12,0)</f>
        <v>124197.1501336306</v>
      </c>
      <c r="T40" s="13"/>
      <c r="U40" s="145">
        <f>IF((S40+CUMPRINC('Inputs'!$B$24/12,'Inputs'!B25*12,'Inputs'!$B$19,109,120,0)-'Inputs'!B26*12)&gt;0,S40+CUMPRINC('Inputs'!$B$24/12,'Inputs'!B25*12,'Inputs'!$B$19,109,120,0)-'Inputs'!B26*12,0)</f>
        <v>120611.3796771928</v>
      </c>
      <c r="V40" s="13"/>
      <c r="W40" s="144">
        <f>IF((U40+CUMPRINC('Inputs'!$B$24/12,'Inputs'!B25*12,'Inputs'!$B$19,121,132,0)-'Inputs'!B26*12)&gt;0,U40+CUMPRINC('Inputs'!$B$24/12,'Inputs'!B25*12,'Inputs'!$B$19,121,132,0)-'Inputs'!B26*12,0)</f>
        <v>116856.2062761888</v>
      </c>
      <c r="X40" s="13"/>
      <c r="Y40" s="145">
        <f>IF((W40+CUMPRINC('Inputs'!$B$24/12,'Inputs'!B25*12,'Inputs'!$B$19,133,144,0)-'Inputs'!B26*12)&gt;0,W40+CUMPRINC('Inputs'!$B$24/12,'Inputs'!B25*12,'Inputs'!$B$19,133,144,0)-'Inputs'!B26*12,0)</f>
        <v>112923.6268088413</v>
      </c>
      <c r="Z40" s="13"/>
      <c r="AA40" s="144">
        <f>IF((Y40+CUMPRINC('Inputs'!$B$24/12,'Inputs'!B25*12,'Inputs'!$B$19,145,156,0)-'Inputs'!B26*12)&gt;0,Y40+CUMPRINC('Inputs'!$B$24/12,'Inputs'!B25*12,'Inputs'!$B$19,145,156,0)-'Inputs'!B26*12,0)</f>
        <v>108805.2600610187</v>
      </c>
      <c r="AB40" s="13"/>
      <c r="AC40" s="145">
        <f>IF((AA40+CUMPRINC('Inputs'!$B$24/12,'Inputs'!B25*12,'Inputs'!$B$19,158,169,0)-'Inputs'!B26*12)&gt;0,AA40+CUMPRINC('Inputs'!$B$24/12,'Inputs'!B25*12,'Inputs'!$B$19,158,169,0)-'Inputs'!B26*12,0)</f>
        <v>104475.7061083211</v>
      </c>
      <c r="AD40" s="13"/>
      <c r="AE40" s="144">
        <f>IF((AC40+CUMPRINC('Inputs'!$B$24/12,'Inputs'!B25*12,'Inputs'!$B$19,169,180,0)-'Inputs'!B26*12)&gt;0,AC40+CUMPRINC('Inputs'!$B$24/12,'Inputs'!B25*12,'Inputs'!$B$19,169,180,0)-'Inputs'!B26*12,0)</f>
        <v>99959.018632574705</v>
      </c>
      <c r="AF40" s="13"/>
      <c r="AG40" s="187">
        <f>IF((AE40+CUMPRINC('Inputs'!$B$24/12,'Inputs'!B25*12,'Inputs'!$B$19,169,180,0)-'Inputs'!B26*12)&gt;0,AE40+CUMPRINC('Inputs'!$B$24/12,'Inputs'!B25*12,'Inputs'!$B$19,169,180,0)-'Inputs'!B26*12,0)</f>
        <v>95442.3311568283</v>
      </c>
    </row>
    <row r="41" ht="16.2" customHeight="1">
      <c r="A41" t="s" s="50">
        <v>109</v>
      </c>
      <c r="B41" s="13"/>
      <c r="C41" s="147">
        <f>C39-C40</f>
        <v>64366.763607374742</v>
      </c>
      <c r="D41" s="81"/>
      <c r="E41" s="147">
        <f>E39-E40</f>
        <v>79565.340485858876</v>
      </c>
      <c r="F41" s="81"/>
      <c r="G41" s="147">
        <f>G39-G40</f>
        <v>95644.213042008429</v>
      </c>
      <c r="H41" s="81"/>
      <c r="I41" s="147">
        <f>I39-I40</f>
        <v>112654.7052396882</v>
      </c>
      <c r="J41" s="81"/>
      <c r="K41" s="147">
        <f>K39-K40</f>
        <v>130651.1499099349</v>
      </c>
      <c r="L41" s="81"/>
      <c r="M41" s="147">
        <f>M39-M40</f>
        <v>149691.0659490101</v>
      </c>
      <c r="N41" s="81"/>
      <c r="O41" s="147">
        <f>O39-O40</f>
        <v>169835.3459908289</v>
      </c>
      <c r="P41" s="13"/>
      <c r="Q41" s="147">
        <f>Q39-Q40</f>
        <v>191148.4551747856</v>
      </c>
      <c r="R41" s="13"/>
      <c r="S41" s="147">
        <f>S39-S40</f>
        <v>213698.641666908</v>
      </c>
      <c r="T41" s="13"/>
      <c r="U41" s="147">
        <f>U39-U40</f>
        <v>237558.159631378</v>
      </c>
      <c r="V41" s="13"/>
      <c r="W41" s="147">
        <f>W39-W40</f>
        <v>262803.5053908963</v>
      </c>
      <c r="X41" s="13"/>
      <c r="Y41" s="147">
        <f>Y39-Y40</f>
        <v>289515.6675582689</v>
      </c>
      <c r="Z41" s="13"/>
      <c r="AA41" s="147">
        <f>AA39-AA40</f>
        <v>317780.3919681182</v>
      </c>
      <c r="AB41" s="13"/>
      <c r="AC41" s="147">
        <f>AC39-AC40</f>
        <v>347705.085042564</v>
      </c>
      <c r="AD41" s="13"/>
      <c r="AE41" s="147">
        <f>AE39-AE40</f>
        <v>379352.6199873635</v>
      </c>
      <c r="AF41" s="13"/>
      <c r="AG41" s="148">
        <f>AG39-AG40</f>
        <v>412628.0057803063</v>
      </c>
    </row>
    <row r="42" ht="18.6" customHeight="1">
      <c r="A42" t="s" s="25">
        <v>110</v>
      </c>
      <c r="B42" s="13"/>
      <c r="C42" s="149">
        <f>C41+C37</f>
        <v>70214.052319807757</v>
      </c>
      <c r="D42" s="81"/>
      <c r="E42" s="149">
        <f>E41+E37</f>
        <v>86270.2211982919</v>
      </c>
      <c r="F42" s="81"/>
      <c r="G42" s="149">
        <f>G41+G37</f>
        <v>103252.3629144414</v>
      </c>
      <c r="H42" s="81"/>
      <c r="I42" s="149">
        <f>I41+I37</f>
        <v>121214.1525669212</v>
      </c>
      <c r="J42" s="81"/>
      <c r="K42" s="149">
        <f>K41+K37</f>
        <v>140212.3926976119</v>
      </c>
      <c r="L42" s="140"/>
      <c r="M42" s="149">
        <f>M41+M37</f>
        <v>160307.1963891044</v>
      </c>
      <c r="N42" s="140"/>
      <c r="O42" s="149">
        <f>O41+O37</f>
        <v>181562.1811270647</v>
      </c>
      <c r="P42" s="13"/>
      <c r="Q42" s="149">
        <f>Q41+Q37</f>
        <v>204044.6740626649</v>
      </c>
      <c r="R42" s="13"/>
      <c r="S42" s="149">
        <f>S41+S37</f>
        <v>227825.9293478729</v>
      </c>
      <c r="T42" s="13"/>
      <c r="U42" s="149">
        <f>U41+U37</f>
        <v>252981.3582562153</v>
      </c>
      <c r="V42" s="13"/>
      <c r="W42" s="149">
        <f>W41+W37</f>
        <v>279590.7728438224</v>
      </c>
      <c r="X42" s="13"/>
      <c r="Y42" s="149">
        <f>Y41+Y37</f>
        <v>307738.643950251</v>
      </c>
      <c r="Z42" s="13"/>
      <c r="AA42" s="149">
        <f>AA41+AA37</f>
        <v>337514.3743859343</v>
      </c>
      <c r="AB42" s="13"/>
      <c r="AC42" s="149">
        <f>AC41+AC37</f>
        <v>369029.2109589116</v>
      </c>
      <c r="AD42" s="13"/>
      <c r="AE42" s="149">
        <f>AE41+AE37</f>
        <v>402350.0597570462</v>
      </c>
      <c r="AF42" s="13"/>
      <c r="AG42" s="150">
        <f>AG41+AG37</f>
        <v>437386.1646681927</v>
      </c>
    </row>
    <row r="43" ht="16.2" customHeight="1" hidden="1">
      <c r="A43" t="s" s="25">
        <v>111</v>
      </c>
      <c r="B43" s="13"/>
      <c r="C43" s="151">
        <f t="shared" si="431" ref="C43:AG43">$I$7</f>
        <v>52567</v>
      </c>
      <c r="D43" s="81"/>
      <c r="E43" s="151">
        <f t="shared" si="431"/>
        <v>52567</v>
      </c>
      <c r="F43" s="81"/>
      <c r="G43" s="151">
        <f t="shared" si="431"/>
        <v>52567</v>
      </c>
      <c r="H43" s="81"/>
      <c r="I43" s="151">
        <f t="shared" si="431"/>
        <v>52567</v>
      </c>
      <c r="J43" s="81"/>
      <c r="K43" s="151">
        <f t="shared" si="431"/>
        <v>52567</v>
      </c>
      <c r="L43" s="81"/>
      <c r="M43" s="151">
        <f t="shared" si="431"/>
        <v>52567</v>
      </c>
      <c r="N43" s="81"/>
      <c r="O43" s="151">
        <f t="shared" si="431"/>
        <v>52567</v>
      </c>
      <c r="P43" s="13"/>
      <c r="Q43" s="151">
        <f t="shared" si="431"/>
        <v>52567</v>
      </c>
      <c r="R43" s="13"/>
      <c r="S43" s="151">
        <f t="shared" si="431"/>
        <v>52567</v>
      </c>
      <c r="T43" s="13"/>
      <c r="U43" s="151">
        <f t="shared" si="431"/>
        <v>52567</v>
      </c>
      <c r="V43" s="13"/>
      <c r="W43" s="151">
        <f t="shared" si="431"/>
        <v>52567</v>
      </c>
      <c r="X43" s="13"/>
      <c r="Y43" s="151">
        <f t="shared" si="431"/>
        <v>52567</v>
      </c>
      <c r="Z43" s="13"/>
      <c r="AA43" s="151">
        <f t="shared" si="431"/>
        <v>52567</v>
      </c>
      <c r="AB43" s="13"/>
      <c r="AC43" s="151">
        <f t="shared" si="431"/>
        <v>52567</v>
      </c>
      <c r="AD43" s="13"/>
      <c r="AE43" s="151">
        <f t="shared" si="431"/>
        <v>52567</v>
      </c>
      <c r="AF43" s="13"/>
      <c r="AG43" s="152">
        <f t="shared" si="431"/>
        <v>52567</v>
      </c>
    </row>
    <row r="44" ht="16.2" customHeight="1">
      <c r="A44" t="s" s="25">
        <v>112</v>
      </c>
      <c r="B44" s="13"/>
      <c r="C44" s="153">
        <f>(C41-C43+C37)/I7</f>
        <v>0.3357059052220548</v>
      </c>
      <c r="D44" s="81"/>
      <c r="E44" s="153">
        <f>(E41-C41+E37)/$I$7</f>
        <v>0.4166769568534851</v>
      </c>
      <c r="F44" s="81"/>
      <c r="G44" s="153">
        <f>(G41-E41+G37)/$I$7</f>
        <v>0.4506063200978287</v>
      </c>
      <c r="H44" s="81"/>
      <c r="I44" s="153">
        <f>(I41-G41+I37)/$I$7</f>
        <v>0.4864256953014777</v>
      </c>
      <c r="J44" s="81"/>
      <c r="K44" s="153">
        <f>(K41-I41+K37)/$I$7</f>
        <v>0.5242393033257314</v>
      </c>
      <c r="L44" s="153"/>
      <c r="M44" s="153">
        <f>(M41-K41+M37)/$I$7</f>
        <v>0.5641571038706701</v>
      </c>
      <c r="N44" s="153"/>
      <c r="O44" s="153">
        <f>(O41-M41+O37)/$I$7</f>
        <v>0.6062951124860574</v>
      </c>
      <c r="P44" s="13"/>
      <c r="Q44" s="153">
        <f>(Q41-O41+Q37)/$I$7</f>
        <v>0.6507757351919647</v>
      </c>
      <c r="R44" s="13"/>
      <c r="S44" s="153">
        <f>(S41-Q41+S37)/$I$7</f>
        <v>0.6977281216939758</v>
      </c>
      <c r="T44" s="13"/>
      <c r="U44" s="153">
        <f>(U41-S41+U37)/$I$7</f>
        <v>0.7472885382332508</v>
      </c>
      <c r="V44" s="13"/>
      <c r="W44" s="153">
        <f>(W41-U41+W37)/$I$7</f>
        <v>0.7996007611703984</v>
      </c>
      <c r="X44" s="13"/>
      <c r="Y44" s="153">
        <f>(Y41-W41+Y37)/$I$7</f>
        <v>0.8548164924639924</v>
      </c>
      <c r="Z44" s="13"/>
      <c r="AA44" s="153">
        <f>(AA41-Y41+AA37)/$I$7</f>
        <v>0.9130957982701203</v>
      </c>
      <c r="AB44" s="13"/>
      <c r="AC44" s="153">
        <f>(AC41-AA41+AC37)/$I$7</f>
        <v>0.9749237923182497</v>
      </c>
      <c r="AD44" s="13"/>
      <c r="AE44" s="153">
        <f>(AE41-AC41+AE37)/$I$7</f>
        <v>1.039530022913277</v>
      </c>
      <c r="AF44" s="13"/>
      <c r="AG44" s="154">
        <f>(AG41-AE41+AG37)/$I$7</f>
        <v>1.103991947054792</v>
      </c>
    </row>
    <row r="45" ht="15.6" customHeight="1">
      <c r="A45" s="24"/>
      <c r="B45" s="13"/>
      <c r="C45" s="155"/>
      <c r="D45" s="81"/>
      <c r="E45" s="155"/>
      <c r="F45" s="81"/>
      <c r="G45" s="155"/>
      <c r="H45" s="81"/>
      <c r="I45" s="155"/>
      <c r="J45" s="81"/>
      <c r="K45" s="155"/>
      <c r="L45" s="155"/>
      <c r="M45" s="155"/>
      <c r="N45" s="155"/>
      <c r="O45" s="155"/>
      <c r="P45" s="13"/>
      <c r="Q45" s="155"/>
      <c r="R45" s="13"/>
      <c r="S45" s="155"/>
      <c r="T45" s="13"/>
      <c r="U45" s="155"/>
      <c r="V45" s="13"/>
      <c r="W45" s="155"/>
      <c r="X45" s="13"/>
      <c r="Y45" s="155"/>
      <c r="Z45" s="13"/>
      <c r="AA45" s="155"/>
      <c r="AB45" s="13"/>
      <c r="AC45" s="155"/>
      <c r="AD45" s="13"/>
      <c r="AE45" s="155"/>
      <c r="AF45" s="13"/>
      <c r="AG45" s="156"/>
    </row>
    <row r="46" ht="16.2" customHeight="1">
      <c r="A46" t="s" s="25">
        <v>113</v>
      </c>
      <c r="B46" s="13"/>
      <c r="C46" s="157">
        <f>C37</f>
        <v>5847.288712433014</v>
      </c>
      <c r="D46" s="158"/>
      <c r="E46" s="157">
        <f>E37+C46</f>
        <v>12552.169424866030</v>
      </c>
      <c r="F46" s="158"/>
      <c r="G46" s="157">
        <f>G37+E46</f>
        <v>20160.319297299044</v>
      </c>
      <c r="H46" s="158"/>
      <c r="I46" s="157">
        <f>I37+G46</f>
        <v>28719.766624532058</v>
      </c>
      <c r="J46" s="158"/>
      <c r="K46" s="157">
        <f>K37+I46</f>
        <v>38281.009412209074</v>
      </c>
      <c r="L46" s="158"/>
      <c r="M46" s="157">
        <f>M37+K46</f>
        <v>48897.139852303415</v>
      </c>
      <c r="N46" s="158"/>
      <c r="O46" s="157">
        <f>O37+M46</f>
        <v>60623.974988539194</v>
      </c>
      <c r="P46" s="13"/>
      <c r="Q46" s="157">
        <f>Q37+O46</f>
        <v>73520.193876418460</v>
      </c>
      <c r="R46" s="13"/>
      <c r="S46" s="157">
        <f>S37+Q46</f>
        <v>87647.481557383318</v>
      </c>
      <c r="T46" s="13"/>
      <c r="U46" s="157">
        <f>U37+S46</f>
        <v>103070.6801822206</v>
      </c>
      <c r="V46" s="13"/>
      <c r="W46" s="157">
        <f>W37+U46</f>
        <v>119857.9476351466</v>
      </c>
      <c r="X46" s="13"/>
      <c r="Y46" s="157">
        <f>Y37+W46</f>
        <v>138080.9240271287</v>
      </c>
      <c r="Z46" s="13"/>
      <c r="AA46" s="157">
        <f>AA37+Y46</f>
        <v>157814.9064449448</v>
      </c>
      <c r="AB46" s="13"/>
      <c r="AC46" s="157">
        <f>AC37+AA46</f>
        <v>179139.0323612925</v>
      </c>
      <c r="AD46" s="13"/>
      <c r="AE46" s="157">
        <f>AE37+AC46</f>
        <v>202136.4721309752</v>
      </c>
      <c r="AF46" s="13"/>
      <c r="AG46" s="159">
        <f>AG37+AE46</f>
        <v>226894.6310188616</v>
      </c>
    </row>
    <row r="47" ht="16.2" customHeight="1">
      <c r="A47" t="s" s="25">
        <v>114</v>
      </c>
      <c r="B47" s="13"/>
      <c r="C47" s="160">
        <f>C46/$I$7</f>
        <v>0.1112349708454546</v>
      </c>
      <c r="D47" s="161"/>
      <c r="E47" s="160">
        <f>E46/$I$7</f>
        <v>0.2387842072948053</v>
      </c>
      <c r="F47" s="161"/>
      <c r="G47" s="160">
        <f>G46/$I$7</f>
        <v>0.3835166415678856</v>
      </c>
      <c r="H47" s="161"/>
      <c r="I47" s="160">
        <f>I46/$I$7</f>
        <v>0.546345932325072</v>
      </c>
      <c r="J47" s="161"/>
      <c r="K47" s="160">
        <f>K46/$I$7</f>
        <v>0.7282327203798785</v>
      </c>
      <c r="L47" s="162"/>
      <c r="M47" s="160">
        <f>M46/$I$7</f>
        <v>0.9301869966386405</v>
      </c>
      <c r="N47" s="162"/>
      <c r="O47" s="160">
        <f>O46/$I$7</f>
        <v>1.153270587793467</v>
      </c>
      <c r="P47" s="13"/>
      <c r="Q47" s="160">
        <f>Q46/$I$7</f>
        <v>1.398599765564298</v>
      </c>
      <c r="R47" s="13"/>
      <c r="S47" s="160">
        <f>S46/$I$7</f>
        <v>1.667347985568576</v>
      </c>
      <c r="T47" s="13"/>
      <c r="U47" s="160">
        <f>U46/$I$7</f>
        <v>1.960748762193403</v>
      </c>
      <c r="V47" s="13"/>
      <c r="W47" s="160">
        <f>W46/$I$7</f>
        <v>2.280098686155698</v>
      </c>
      <c r="X47" s="13"/>
      <c r="Y47" s="160">
        <f>Y46/$I$7</f>
        <v>2.626760591761536</v>
      </c>
      <c r="Z47" s="13"/>
      <c r="AA47" s="160">
        <f>AA46/$I$7</f>
        <v>3.002166881217205</v>
      </c>
      <c r="AB47" s="13"/>
      <c r="AC47" s="160">
        <f>AC46/$I$7</f>
        <v>3.40782301370237</v>
      </c>
      <c r="AD47" s="13"/>
      <c r="AE47" s="160">
        <f>AE46/$I$7</f>
        <v>3.845311167290794</v>
      </c>
      <c r="AF47" s="13"/>
      <c r="AG47" s="163">
        <f>AG46/$I$7</f>
        <v>4.316294082197227</v>
      </c>
    </row>
    <row r="48" ht="15.6" customHeight="1">
      <c r="A48" s="24"/>
      <c r="B48" s="13"/>
      <c r="C48" s="162"/>
      <c r="D48" s="161"/>
      <c r="E48" s="162"/>
      <c r="F48" s="161"/>
      <c r="G48" s="162"/>
      <c r="H48" s="161"/>
      <c r="I48" s="162"/>
      <c r="J48" s="161"/>
      <c r="K48" s="162"/>
      <c r="L48" s="162"/>
      <c r="M48" s="162"/>
      <c r="N48" s="162"/>
      <c r="O48" s="162"/>
      <c r="P48" s="13"/>
      <c r="Q48" s="162"/>
      <c r="R48" s="13"/>
      <c r="S48" s="162"/>
      <c r="T48" s="13"/>
      <c r="U48" s="162"/>
      <c r="V48" s="13"/>
      <c r="W48" s="162"/>
      <c r="X48" s="13"/>
      <c r="Y48" s="162"/>
      <c r="Z48" s="13"/>
      <c r="AA48" s="162"/>
      <c r="AB48" s="13"/>
      <c r="AC48" s="162"/>
      <c r="AD48" s="13"/>
      <c r="AE48" s="162"/>
      <c r="AF48" s="13"/>
      <c r="AG48" s="164"/>
    </row>
    <row r="49" ht="16.2" customHeight="1">
      <c r="A49" t="s" s="25">
        <v>115</v>
      </c>
      <c r="B49" s="13"/>
      <c r="C49" s="157">
        <f>C41-C43+C37</f>
        <v>17647.052319807757</v>
      </c>
      <c r="D49" s="161"/>
      <c r="E49" s="157">
        <f>E41-E43+E37+C37</f>
        <v>39550.509910724912</v>
      </c>
      <c r="F49" s="158"/>
      <c r="G49" s="157">
        <f>G41-G43+G37+E37+C37</f>
        <v>63237.532339307480</v>
      </c>
      <c r="H49" s="158"/>
      <c r="I49" s="157">
        <f>I41-I43+I37+G37+E37+C37</f>
        <v>88807.471864220250</v>
      </c>
      <c r="J49" s="158"/>
      <c r="K49" s="157">
        <f>K41-K43+K37+I37+G37+E37+C37</f>
        <v>116365.159322144</v>
      </c>
      <c r="L49" s="158"/>
      <c r="M49" s="157">
        <f>M41-M43+M37+K37+I37+G37+E37</f>
        <v>140173.9170888805</v>
      </c>
      <c r="N49" s="158"/>
      <c r="O49" s="157">
        <f>O41-O43+O37+M37+K37+I37+G37</f>
        <v>165340.151554502</v>
      </c>
      <c r="P49" s="13"/>
      <c r="Q49" s="157">
        <f>Q41-Q43+Q37+O37+M37+K37+I37</f>
        <v>191941.329753905</v>
      </c>
      <c r="R49" s="13"/>
      <c r="S49" s="157">
        <f>S41-S43+S37+Q37+O37+M37+K37</f>
        <v>220059.3565997592</v>
      </c>
      <c r="T49" s="13"/>
      <c r="U49" s="157">
        <f>U41-U43+U37+S37+Q37+O37+M37</f>
        <v>249780.8304013895</v>
      </c>
      <c r="V49" s="13"/>
      <c r="W49" s="157">
        <f>W41-W43+W37+U37+S37+Q37+O37</f>
        <v>281197.3131737395</v>
      </c>
      <c r="X49" s="13"/>
      <c r="Y49" s="157">
        <f>Y41-Y43+Y37+W37+U37+S37+Q37</f>
        <v>314405.6165968585</v>
      </c>
      <c r="Z49" s="13"/>
      <c r="AA49" s="157">
        <f>AA41-AA43+AA37+Y37+W37+U37+S37</f>
        <v>349508.1045366446</v>
      </c>
      <c r="AB49" s="13"/>
      <c r="AC49" s="157">
        <f>AC41-AC43+AC37+AA37+Y37+W37+U37</f>
        <v>386629.6358464732</v>
      </c>
      <c r="AD49" s="13"/>
      <c r="AE49" s="157">
        <f>AE41-AE43+AE37+AC37+AA37+Y37+W37</f>
        <v>425851.4119361182</v>
      </c>
      <c r="AF49" s="13"/>
      <c r="AG49" s="159">
        <f>AG41-AG43+AG37+AE37+AC37+AA37+Y37</f>
        <v>467097.6891640213</v>
      </c>
    </row>
    <row r="50" ht="16.2" customHeight="1">
      <c r="A50" t="s" s="25">
        <v>116</v>
      </c>
      <c r="B50" s="13"/>
      <c r="C50" s="160">
        <f>C49/$I$7</f>
        <v>0.3357059052220548</v>
      </c>
      <c r="D50" s="161"/>
      <c r="E50" s="160">
        <f>E49/$I$7</f>
        <v>0.7523828620755401</v>
      </c>
      <c r="F50" s="161"/>
      <c r="G50" s="160">
        <f>G49/$I$7</f>
        <v>1.202989182173369</v>
      </c>
      <c r="H50" s="161"/>
      <c r="I50" s="160">
        <f>I49/$I$7</f>
        <v>1.689414877474846</v>
      </c>
      <c r="J50" s="161"/>
      <c r="K50" s="160">
        <f>K49/$I$7</f>
        <v>2.213654180800578</v>
      </c>
      <c r="L50" s="162"/>
      <c r="M50" s="160">
        <f>M49/$I$7</f>
        <v>2.666576313825793</v>
      </c>
      <c r="N50" s="162"/>
      <c r="O50" s="160">
        <f>O49/$I$7</f>
        <v>3.1453221898625</v>
      </c>
      <c r="P50" s="13"/>
      <c r="Q50" s="160">
        <f>Q49/$I$7</f>
        <v>3.651365490781384</v>
      </c>
      <c r="R50" s="13"/>
      <c r="S50" s="160">
        <f>S49/$I$7</f>
        <v>4.186264321718173</v>
      </c>
      <c r="T50" s="13"/>
      <c r="U50" s="160">
        <f>U49/$I$7</f>
        <v>4.751666071896618</v>
      </c>
      <c r="V50" s="13"/>
      <c r="W50" s="160">
        <f>W49/$I$7</f>
        <v>5.349312556808254</v>
      </c>
      <c r="X50" s="13"/>
      <c r="Y50" s="160">
        <f>Y49/$I$7</f>
        <v>5.981045458117421</v>
      </c>
      <c r="Z50" s="13"/>
      <c r="AA50" s="160">
        <f>AA49/$I$7</f>
        <v>6.64881207861671</v>
      </c>
      <c r="AB50" s="13"/>
      <c r="AC50" s="160">
        <f>AC49/$I$7</f>
        <v>7.354987650930682</v>
      </c>
      <c r="AD50" s="13"/>
      <c r="AE50" s="160">
        <f>AE49/$I$7</f>
        <v>8.101116897219134</v>
      </c>
      <c r="AF50" s="13"/>
      <c r="AG50" s="163">
        <f>AG49/$I$7</f>
        <v>8.885758920311629</v>
      </c>
    </row>
    <row r="51" ht="15" customHeight="1">
      <c r="A51" s="24"/>
      <c r="B51" s="13"/>
      <c r="C51" s="165"/>
      <c r="D51" s="132"/>
      <c r="E51" s="165"/>
      <c r="F51" s="132"/>
      <c r="G51" s="165"/>
      <c r="H51" s="132"/>
      <c r="I51" s="165"/>
      <c r="J51" s="132"/>
      <c r="K51" s="165"/>
      <c r="L51" s="165"/>
      <c r="M51" s="165"/>
      <c r="N51" s="165"/>
      <c r="O51" s="165"/>
      <c r="P51" s="13"/>
      <c r="Q51" s="165"/>
      <c r="R51" s="13"/>
      <c r="S51" s="165"/>
      <c r="T51" s="13"/>
      <c r="U51" s="165"/>
      <c r="V51" s="13"/>
      <c r="W51" s="165"/>
      <c r="X51" s="13"/>
      <c r="Y51" s="165"/>
      <c r="Z51" s="13"/>
      <c r="AA51" s="165"/>
      <c r="AB51" s="13"/>
      <c r="AC51" s="165"/>
      <c r="AD51" s="13"/>
      <c r="AE51" s="165"/>
      <c r="AF51" s="13"/>
      <c r="AG51" s="166"/>
    </row>
    <row r="52" ht="15.75" customHeight="1">
      <c r="A52" s="24"/>
      <c r="B52" s="168"/>
      <c r="C52" s="167"/>
      <c r="D52" s="168"/>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68"/>
    </row>
    <row r="53" ht="19.5" customHeight="1">
      <c r="A53" t="s" s="119">
        <f>'Inputs'!A67</f>
        <v>90</v>
      </c>
      <c r="B53" s="120"/>
      <c r="C53" s="120"/>
      <c r="D53" s="120"/>
      <c r="E53" s="120"/>
      <c r="F53" s="120"/>
      <c r="G53" s="120"/>
      <c r="H53" s="120"/>
      <c r="I53" s="120"/>
      <c r="J53" s="120"/>
      <c r="K53" s="120"/>
      <c r="L53" s="120"/>
      <c r="M53" s="13"/>
      <c r="N53" s="13"/>
      <c r="O53" s="13"/>
      <c r="P53" s="13"/>
      <c r="Q53" s="13"/>
      <c r="R53" s="13"/>
      <c r="S53" s="13"/>
      <c r="T53" s="13"/>
      <c r="U53" s="13"/>
      <c r="V53" s="13"/>
      <c r="W53" s="13"/>
      <c r="X53" s="13"/>
      <c r="Y53" s="13"/>
      <c r="Z53" s="13"/>
      <c r="AA53" s="13"/>
      <c r="AB53" s="13"/>
      <c r="AC53" s="13"/>
      <c r="AD53" s="13"/>
      <c r="AE53" s="13"/>
      <c r="AF53" s="13"/>
      <c r="AG53" s="68"/>
    </row>
    <row r="54" ht="15" customHeight="1">
      <c r="A54" s="123"/>
      <c r="B54" s="120"/>
      <c r="C54" s="120"/>
      <c r="D54" s="120"/>
      <c r="E54" s="120"/>
      <c r="F54" s="120"/>
      <c r="G54" s="120"/>
      <c r="H54" s="120"/>
      <c r="I54" s="120"/>
      <c r="J54" s="120"/>
      <c r="K54" s="120"/>
      <c r="L54" s="120"/>
      <c r="M54" s="13"/>
      <c r="N54" s="13"/>
      <c r="O54" s="13"/>
      <c r="P54" s="13"/>
      <c r="Q54" s="13"/>
      <c r="R54" s="13"/>
      <c r="S54" s="13"/>
      <c r="T54" s="13"/>
      <c r="U54" s="13"/>
      <c r="V54" s="13"/>
      <c r="W54" s="13"/>
      <c r="X54" s="13"/>
      <c r="Y54" s="13"/>
      <c r="Z54" s="13"/>
      <c r="AA54" s="13"/>
      <c r="AB54" s="13"/>
      <c r="AC54" s="13"/>
      <c r="AD54" s="13"/>
      <c r="AE54" s="13"/>
      <c r="AF54" s="13"/>
      <c r="AG54" s="68"/>
    </row>
    <row r="55" ht="15" customHeight="1">
      <c r="A55" s="123"/>
      <c r="B55" s="120"/>
      <c r="C55" s="120"/>
      <c r="D55" s="120"/>
      <c r="E55" s="120"/>
      <c r="F55" s="120"/>
      <c r="G55" s="120"/>
      <c r="H55" s="120"/>
      <c r="I55" s="120"/>
      <c r="J55" s="120"/>
      <c r="K55" s="120"/>
      <c r="L55" s="120"/>
      <c r="M55" s="13"/>
      <c r="N55" s="13"/>
      <c r="O55" s="13"/>
      <c r="P55" s="13"/>
      <c r="Q55" s="13"/>
      <c r="R55" s="13"/>
      <c r="S55" s="13"/>
      <c r="T55" s="13"/>
      <c r="U55" s="13"/>
      <c r="V55" s="13"/>
      <c r="W55" s="13"/>
      <c r="X55" s="13"/>
      <c r="Y55" s="13"/>
      <c r="Z55" s="13"/>
      <c r="AA55" s="13"/>
      <c r="AB55" s="13"/>
      <c r="AC55" s="13"/>
      <c r="AD55" s="13"/>
      <c r="AE55" s="13"/>
      <c r="AF55" s="13"/>
      <c r="AG55" s="68"/>
    </row>
    <row r="56" ht="15" customHeight="1">
      <c r="A56" s="188"/>
      <c r="B56" s="189"/>
      <c r="C56" s="189"/>
      <c r="D56" s="189"/>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5"/>
    </row>
  </sheetData>
  <mergeCells count="1">
    <mergeCell ref="A53:K55"/>
  </mergeCells>
  <pageMargins left="0.7" right="0.7" top="0.75" bottom="0.75" header="0.3" footer="0.3"/>
  <pageSetup firstPageNumber="1" fitToHeight="1" fitToWidth="1" scale="67"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AG56"/>
  <sheetViews>
    <sheetView workbookViewId="0" showGridLines="0" defaultGridColor="1"/>
  </sheetViews>
  <sheetFormatPr defaultColWidth="9.16667" defaultRowHeight="14.4" customHeight="1" outlineLevelRow="0" outlineLevelCol="0"/>
  <cols>
    <col min="1" max="1" width="18" style="190" customWidth="1"/>
    <col min="2" max="2" width="19.8516" style="190" customWidth="1"/>
    <col min="3" max="3" width="16.1719" style="190" customWidth="1"/>
    <col min="4" max="4" width="6" style="190" customWidth="1"/>
    <col min="5" max="5" width="12.8516" style="190" customWidth="1"/>
    <col min="6" max="6" width="6" style="190" customWidth="1"/>
    <col min="7" max="7" width="13.5" style="190" customWidth="1"/>
    <col min="8" max="8" width="6" style="190" customWidth="1"/>
    <col min="9" max="9" width="13.6719" style="190" customWidth="1"/>
    <col min="10" max="10" width="6" style="190" customWidth="1"/>
    <col min="11" max="11" width="15.6719" style="190" customWidth="1"/>
    <col min="12" max="12" width="6" style="190" customWidth="1"/>
    <col min="13" max="13" width="15.6719" style="190" customWidth="1"/>
    <col min="14" max="14" width="6" style="190" customWidth="1"/>
    <col min="15" max="15" width="15.6719" style="190" customWidth="1"/>
    <col min="16" max="16" width="6" style="190" customWidth="1"/>
    <col min="17" max="17" width="15.6719" style="190" customWidth="1"/>
    <col min="18" max="18" width="6" style="190" customWidth="1"/>
    <col min="19" max="19" width="15.6719" style="190" customWidth="1"/>
    <col min="20" max="20" width="6" style="190" customWidth="1"/>
    <col min="21" max="21" width="15.6719" style="190" customWidth="1"/>
    <col min="22" max="22" width="6" style="190" customWidth="1"/>
    <col min="23" max="23" width="15.6719" style="190" customWidth="1"/>
    <col min="24" max="24" width="6" style="190" customWidth="1"/>
    <col min="25" max="25" width="15.6719" style="190" customWidth="1"/>
    <col min="26" max="26" width="6" style="190" customWidth="1"/>
    <col min="27" max="27" width="15.6719" style="190" customWidth="1"/>
    <col min="28" max="28" width="6" style="190" customWidth="1"/>
    <col min="29" max="29" width="15.6719" style="190" customWidth="1"/>
    <col min="30" max="30" width="6" style="190" customWidth="1"/>
    <col min="31" max="31" width="15.6719" style="190" customWidth="1"/>
    <col min="32" max="32" width="6" style="190" customWidth="1"/>
    <col min="33" max="33" width="15.6719" style="190" customWidth="1"/>
    <col min="34" max="256" width="9.17188" style="190" customWidth="1"/>
  </cols>
  <sheetData>
    <row r="1" ht="18" customHeight="1">
      <c r="A1" t="s" s="64">
        <v>55</v>
      </c>
      <c r="B1" s="65"/>
      <c r="C1" t="s" s="66">
        <f>'Inputs'!B10</f>
        <v>56</v>
      </c>
      <c r="D1" s="65"/>
      <c r="E1" t="s" s="66">
        <v>58</v>
      </c>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7"/>
    </row>
    <row r="2" ht="15.6" customHeight="1">
      <c r="A2" s="24"/>
      <c r="B2" s="13"/>
      <c r="C2" s="13"/>
      <c r="D2" s="13"/>
      <c r="E2" t="s" s="91">
        <v>15</v>
      </c>
      <c r="F2" s="13"/>
      <c r="G2" s="73"/>
      <c r="H2" s="13"/>
      <c r="I2" s="74">
        <f>'Inputs'!B15</f>
        <v>200000</v>
      </c>
      <c r="J2" s="13"/>
      <c r="K2" s="13"/>
      <c r="L2" s="13"/>
      <c r="M2" s="13"/>
      <c r="N2" s="13"/>
      <c r="O2" s="13"/>
      <c r="P2" s="13"/>
      <c r="Q2" s="13"/>
      <c r="R2" s="13"/>
      <c r="S2" s="13"/>
      <c r="T2" s="13"/>
      <c r="U2" s="13"/>
      <c r="V2" s="13"/>
      <c r="W2" s="13"/>
      <c r="X2" s="13"/>
      <c r="Y2" s="13"/>
      <c r="Z2" s="13"/>
      <c r="AA2" s="13"/>
      <c r="AB2" s="13"/>
      <c r="AC2" s="13"/>
      <c r="AD2" s="13"/>
      <c r="AE2" s="13"/>
      <c r="AF2" s="13"/>
      <c r="AG2" s="68"/>
    </row>
    <row r="3" ht="16.2" customHeight="1">
      <c r="A3" t="s" s="69">
        <v>57</v>
      </c>
      <c r="B3" s="13"/>
      <c r="C3" s="70">
        <f>'Inputs'!B11</f>
        <v>1</v>
      </c>
      <c r="D3" s="13"/>
      <c r="E3" t="s" s="91">
        <v>59</v>
      </c>
      <c r="F3" s="13"/>
      <c r="G3" s="73"/>
      <c r="H3" s="13"/>
      <c r="I3" s="75">
        <f>'Inputs'!B19</f>
        <v>150000</v>
      </c>
      <c r="J3" s="13"/>
      <c r="K3" s="13"/>
      <c r="L3" s="13"/>
      <c r="M3" s="13"/>
      <c r="N3" s="13"/>
      <c r="O3" s="13"/>
      <c r="P3" s="13"/>
      <c r="Q3" s="13"/>
      <c r="R3" s="13"/>
      <c r="S3" s="13"/>
      <c r="T3" s="13"/>
      <c r="U3" s="13"/>
      <c r="V3" s="13"/>
      <c r="W3" s="13"/>
      <c r="X3" s="13"/>
      <c r="Y3" s="13"/>
      <c r="Z3" s="13"/>
      <c r="AA3" s="13"/>
      <c r="AB3" s="13"/>
      <c r="AC3" s="13"/>
      <c r="AD3" s="13"/>
      <c r="AE3" s="13"/>
      <c r="AF3" s="13"/>
      <c r="AG3" s="68"/>
    </row>
    <row r="4" ht="15.6" customHeight="1">
      <c r="A4" s="24"/>
      <c r="B4" s="13"/>
      <c r="C4" s="13"/>
      <c r="D4" s="13"/>
      <c r="E4" t="s" s="91">
        <v>60</v>
      </c>
      <c r="F4" s="13"/>
      <c r="G4" s="73"/>
      <c r="H4" s="13"/>
      <c r="I4" s="76">
        <f>'Inputs'!B18</f>
        <v>50000</v>
      </c>
      <c r="J4" s="13"/>
      <c r="K4" s="13"/>
      <c r="L4" s="13"/>
      <c r="M4" s="13"/>
      <c r="N4" s="13"/>
      <c r="O4" s="13"/>
      <c r="P4" s="13"/>
      <c r="Q4" s="13"/>
      <c r="R4" s="13"/>
      <c r="S4" s="13"/>
      <c r="T4" s="13"/>
      <c r="U4" s="13"/>
      <c r="V4" s="13"/>
      <c r="W4" s="13"/>
      <c r="X4" s="13"/>
      <c r="Y4" s="13"/>
      <c r="Z4" s="13"/>
      <c r="AA4" s="13"/>
      <c r="AB4" s="13"/>
      <c r="AC4" s="13"/>
      <c r="AD4" s="13"/>
      <c r="AE4" s="13"/>
      <c r="AF4" s="13"/>
      <c r="AG4" s="68"/>
    </row>
    <row r="5" ht="15.6" customHeight="1">
      <c r="A5" s="24"/>
      <c r="B5" s="13"/>
      <c r="C5" s="13"/>
      <c r="D5" s="13"/>
      <c r="E5" t="s" s="91">
        <v>61</v>
      </c>
      <c r="F5" s="13"/>
      <c r="G5" s="73"/>
      <c r="H5" s="13"/>
      <c r="I5" s="74">
        <f>'Inputs'!B16+'Inputs'!B17</f>
        <v>2367</v>
      </c>
      <c r="J5" s="13"/>
      <c r="K5" s="13"/>
      <c r="L5" s="13"/>
      <c r="M5" s="13"/>
      <c r="N5" s="13"/>
      <c r="O5" s="13"/>
      <c r="P5" s="13"/>
      <c r="Q5" s="13"/>
      <c r="R5" s="13"/>
      <c r="S5" s="13"/>
      <c r="T5" s="13"/>
      <c r="U5" s="13"/>
      <c r="V5" s="13"/>
      <c r="W5" s="13"/>
      <c r="X5" s="13"/>
      <c r="Y5" s="13"/>
      <c r="Z5" s="13"/>
      <c r="AA5" s="13"/>
      <c r="AB5" s="13"/>
      <c r="AC5" s="13"/>
      <c r="AD5" s="13"/>
      <c r="AE5" s="13"/>
      <c r="AF5" s="13"/>
      <c r="AG5" s="68"/>
    </row>
    <row r="6" ht="16.2" customHeight="1">
      <c r="A6" s="24"/>
      <c r="B6" s="13"/>
      <c r="C6" s="13"/>
      <c r="D6" s="13"/>
      <c r="E6" t="s" s="91">
        <v>62</v>
      </c>
      <c r="F6" s="13"/>
      <c r="G6" s="73"/>
      <c r="H6" s="13"/>
      <c r="I6" s="75">
        <f>'Inputs'!B21</f>
        <v>200</v>
      </c>
      <c r="J6" s="13"/>
      <c r="K6" s="13"/>
      <c r="L6" s="13"/>
      <c r="M6" s="13"/>
      <c r="N6" s="13"/>
      <c r="O6" s="13"/>
      <c r="P6" s="13"/>
      <c r="Q6" s="13"/>
      <c r="R6" s="13"/>
      <c r="S6" s="13"/>
      <c r="T6" s="13"/>
      <c r="U6" s="13"/>
      <c r="V6" s="13"/>
      <c r="W6" s="13"/>
      <c r="X6" s="13"/>
      <c r="Y6" s="13"/>
      <c r="Z6" s="13"/>
      <c r="AA6" s="13"/>
      <c r="AB6" s="13"/>
      <c r="AC6" s="13"/>
      <c r="AD6" s="13"/>
      <c r="AE6" s="13"/>
      <c r="AF6" s="13"/>
      <c r="AG6" s="68"/>
    </row>
    <row r="7" ht="18.6" customHeight="1">
      <c r="A7" s="24"/>
      <c r="B7" s="13"/>
      <c r="C7" s="13"/>
      <c r="D7" s="13"/>
      <c r="E7" t="s" s="129">
        <v>63</v>
      </c>
      <c r="F7" s="13"/>
      <c r="G7" s="77"/>
      <c r="H7" s="13"/>
      <c r="I7" s="78">
        <f>'Inputs'!B22</f>
        <v>52567</v>
      </c>
      <c r="J7" s="13"/>
      <c r="K7" s="13"/>
      <c r="L7" s="13"/>
      <c r="M7" s="13"/>
      <c r="N7" s="13"/>
      <c r="O7" s="13"/>
      <c r="P7" s="13"/>
      <c r="Q7" s="13"/>
      <c r="R7" s="13"/>
      <c r="S7" s="13"/>
      <c r="T7" s="13"/>
      <c r="U7" s="13"/>
      <c r="V7" s="13"/>
      <c r="W7" s="13"/>
      <c r="X7" s="13"/>
      <c r="Y7" s="13"/>
      <c r="Z7" s="13"/>
      <c r="AA7" s="13"/>
      <c r="AB7" s="13"/>
      <c r="AC7" s="13"/>
      <c r="AD7" s="13"/>
      <c r="AE7" s="13"/>
      <c r="AF7" s="13"/>
      <c r="AG7" s="68"/>
    </row>
    <row r="8" ht="18.6" customHeight="1">
      <c r="A8" t="s" s="71">
        <v>64</v>
      </c>
      <c r="B8" s="13"/>
      <c r="C8" s="13"/>
      <c r="D8" s="13"/>
      <c r="E8" s="13"/>
      <c r="F8" s="13"/>
      <c r="G8" s="13"/>
      <c r="H8" s="13"/>
      <c r="I8" s="79"/>
      <c r="J8" s="13"/>
      <c r="K8" s="13"/>
      <c r="L8" s="13"/>
      <c r="M8" s="13"/>
      <c r="N8" s="13"/>
      <c r="O8" s="13"/>
      <c r="P8" s="13"/>
      <c r="Q8" s="13"/>
      <c r="R8" s="13"/>
      <c r="S8" s="13"/>
      <c r="T8" s="13"/>
      <c r="U8" s="13"/>
      <c r="V8" s="13"/>
      <c r="W8" s="13"/>
      <c r="X8" s="13"/>
      <c r="Y8" s="13"/>
      <c r="Z8" s="13"/>
      <c r="AA8" s="13"/>
      <c r="AB8" s="13"/>
      <c r="AC8" s="13"/>
      <c r="AD8" s="13"/>
      <c r="AE8" s="13"/>
      <c r="AF8" s="13"/>
      <c r="AG8" s="68"/>
    </row>
    <row r="9" ht="15" customHeight="1">
      <c r="A9" s="2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68"/>
    </row>
    <row r="10" ht="15.6" customHeight="1">
      <c r="A10" t="s" s="80">
        <v>65</v>
      </c>
      <c r="B10" s="73"/>
      <c r="C10" t="s" s="91">
        <v>91</v>
      </c>
      <c r="D10" s="73"/>
      <c r="E10" t="s" s="130">
        <v>92</v>
      </c>
      <c r="F10" s="13"/>
      <c r="G10" t="s" s="130">
        <v>93</v>
      </c>
      <c r="H10" s="13"/>
      <c r="I10" t="s" s="130">
        <v>94</v>
      </c>
      <c r="J10" s="13"/>
      <c r="K10" t="s" s="130">
        <v>95</v>
      </c>
      <c r="L10" s="13"/>
      <c r="M10" t="s" s="130">
        <v>96</v>
      </c>
      <c r="N10" s="13"/>
      <c r="O10" t="s" s="130">
        <v>97</v>
      </c>
      <c r="P10" s="13"/>
      <c r="Q10" t="s" s="130">
        <v>98</v>
      </c>
      <c r="R10" s="13"/>
      <c r="S10" t="s" s="130">
        <v>99</v>
      </c>
      <c r="T10" s="13"/>
      <c r="U10" t="s" s="130">
        <v>100</v>
      </c>
      <c r="V10" s="13"/>
      <c r="W10" t="s" s="130">
        <v>101</v>
      </c>
      <c r="X10" s="13"/>
      <c r="Y10" t="s" s="130">
        <v>102</v>
      </c>
      <c r="Z10" s="13"/>
      <c r="AA10" t="s" s="130">
        <v>103</v>
      </c>
      <c r="AB10" s="13"/>
      <c r="AC10" t="s" s="130">
        <v>104</v>
      </c>
      <c r="AD10" s="13"/>
      <c r="AE10" t="s" s="130">
        <v>105</v>
      </c>
      <c r="AF10" s="13"/>
      <c r="AG10" t="s" s="131">
        <v>106</v>
      </c>
    </row>
    <row r="11" ht="15.6" customHeight="1">
      <c r="A11" t="s" s="72">
        <v>66</v>
      </c>
      <c r="B11" s="73"/>
      <c r="C11" s="81">
        <f>'Inputs'!B33*12</f>
        <v>22752</v>
      </c>
      <c r="D11" s="81"/>
      <c r="E11" s="132">
        <f>C11*(1+'Inputs'!$B$37)</f>
        <v>23889.6</v>
      </c>
      <c r="F11" s="132"/>
      <c r="G11" s="132">
        <f>E11*(1+'Inputs'!$B$37)</f>
        <v>25084.08</v>
      </c>
      <c r="H11" s="132"/>
      <c r="I11" s="132">
        <f>G11*(1+'Inputs'!$B$37)</f>
        <v>26338.284</v>
      </c>
      <c r="J11" s="132"/>
      <c r="K11" s="132">
        <f>I11*(1+'Inputs'!$B$37)</f>
        <v>27655.198200000006</v>
      </c>
      <c r="L11" s="132"/>
      <c r="M11" s="132">
        <f>K11*(1+'Inputs'!$B$37)</f>
        <v>29037.958110000007</v>
      </c>
      <c r="N11" s="132"/>
      <c r="O11" s="132">
        <f>M11*(1+'Inputs'!$B$37)</f>
        <v>30489.856015500009</v>
      </c>
      <c r="P11" s="13"/>
      <c r="Q11" s="132">
        <f>O11*(1+'Inputs'!$B$37)</f>
        <v>32014.348816275011</v>
      </c>
      <c r="R11" s="13"/>
      <c r="S11" s="132">
        <f>Q11*(1+'Inputs'!$B$37)</f>
        <v>33615.066257088765</v>
      </c>
      <c r="T11" s="13"/>
      <c r="U11" s="132">
        <f>S11*(1+'Inputs'!$B$37)</f>
        <v>35295.8195699432</v>
      </c>
      <c r="V11" s="13"/>
      <c r="W11" s="132">
        <f>U11*(1+'Inputs'!$B$37)</f>
        <v>37060.610548440367</v>
      </c>
      <c r="X11" s="13"/>
      <c r="Y11" s="132">
        <f>W11*(1+'Inputs'!$B$37)</f>
        <v>38913.641075862390</v>
      </c>
      <c r="Z11" s="13"/>
      <c r="AA11" s="132">
        <f>Y11*(1+'Inputs'!$B$37)</f>
        <v>40859.323129655510</v>
      </c>
      <c r="AB11" s="13"/>
      <c r="AC11" s="132">
        <f>AA11*(1+'Inputs'!$B$37)</f>
        <v>42902.289286138286</v>
      </c>
      <c r="AD11" s="13"/>
      <c r="AE11" s="132">
        <f>AC11*(1+'Inputs'!$B$37)</f>
        <v>45047.4037504452</v>
      </c>
      <c r="AF11" s="13"/>
      <c r="AG11" s="133">
        <f>AE11*(1+'Inputs'!$B$37)</f>
        <v>47299.773937967460</v>
      </c>
    </row>
    <row r="12" ht="16.2" customHeight="1">
      <c r="A12" t="s" s="72">
        <v>68</v>
      </c>
      <c r="B12" s="85">
        <f>'Inputs'!B35</f>
        <v>0.05</v>
      </c>
      <c r="C12" s="86">
        <f>-C11*'Inputs'!B35</f>
        <v>-1137.6</v>
      </c>
      <c r="D12" s="81"/>
      <c r="E12" s="134">
        <f>-E11*'Inputs'!$B$35</f>
        <v>-1194.48</v>
      </c>
      <c r="F12" s="132"/>
      <c r="G12" s="134">
        <f>-G11*'Inputs'!$B$35</f>
        <v>-1254.204</v>
      </c>
      <c r="H12" s="132"/>
      <c r="I12" s="134">
        <f>-I11*'Inputs'!$B$35</f>
        <v>-1316.9142</v>
      </c>
      <c r="J12" s="132"/>
      <c r="K12" s="134">
        <f>-K11*'Inputs'!$B$35</f>
        <v>-1382.75991</v>
      </c>
      <c r="L12" s="132"/>
      <c r="M12" s="134">
        <f>-M11*'Inputs'!$B$35</f>
        <v>-1451.8979055</v>
      </c>
      <c r="N12" s="132"/>
      <c r="O12" s="134">
        <f>-O11*'Inputs'!$B$35</f>
        <v>-1524.492800775</v>
      </c>
      <c r="P12" s="13"/>
      <c r="Q12" s="134">
        <f>-Q11*'Inputs'!$B$35</f>
        <v>-1600.717440813751</v>
      </c>
      <c r="R12" s="13"/>
      <c r="S12" s="134">
        <f>-S11*'Inputs'!$B$35</f>
        <v>-1680.753312854438</v>
      </c>
      <c r="T12" s="13"/>
      <c r="U12" s="134">
        <f>-U11*'Inputs'!$B$35</f>
        <v>-1764.790978497160</v>
      </c>
      <c r="V12" s="13"/>
      <c r="W12" s="134">
        <f>-W11*'Inputs'!$B$35</f>
        <v>-1853.030527422018</v>
      </c>
      <c r="X12" s="13"/>
      <c r="Y12" s="134">
        <f>-Y11*'Inputs'!$B$35</f>
        <v>-1945.682053793120</v>
      </c>
      <c r="Z12" s="13"/>
      <c r="AA12" s="134">
        <f>-AA11*'Inputs'!$B$35</f>
        <v>-2042.966156482776</v>
      </c>
      <c r="AB12" s="13"/>
      <c r="AC12" s="134">
        <f>-AC11*'Inputs'!$B$35</f>
        <v>-2145.114464306914</v>
      </c>
      <c r="AD12" s="13"/>
      <c r="AE12" s="134">
        <f>-AE11*'Inputs'!$B$35</f>
        <v>-2252.370187522260</v>
      </c>
      <c r="AF12" s="13"/>
      <c r="AG12" s="135">
        <f>-AG11*'Inputs'!$B$35</f>
        <v>-2364.988696898373</v>
      </c>
    </row>
    <row r="13" ht="15.6" customHeight="1">
      <c r="A13" t="s" s="69">
        <v>69</v>
      </c>
      <c r="B13" s="88"/>
      <c r="C13" s="89">
        <f>SUM(C11:C12)</f>
        <v>21614.4</v>
      </c>
      <c r="D13" s="81"/>
      <c r="E13" s="89">
        <f>SUM(E11:E12)</f>
        <v>22695.12</v>
      </c>
      <c r="F13" s="132"/>
      <c r="G13" s="89">
        <f>SUM(G11:G12)</f>
        <v>23829.876</v>
      </c>
      <c r="H13" s="132"/>
      <c r="I13" s="89">
        <f>SUM(I11:I12)</f>
        <v>25021.3698</v>
      </c>
      <c r="J13" s="132"/>
      <c r="K13" s="89">
        <f>SUM(K11:K12)</f>
        <v>26272.438290000006</v>
      </c>
      <c r="L13" s="96"/>
      <c r="M13" s="89">
        <f>SUM(M11:M12)</f>
        <v>27586.060204500005</v>
      </c>
      <c r="N13" s="96"/>
      <c r="O13" s="89">
        <f>SUM(O11:O12)</f>
        <v>28965.363214725010</v>
      </c>
      <c r="P13" s="13"/>
      <c r="Q13" s="89">
        <f>SUM(Q11:Q12)</f>
        <v>30413.631375461260</v>
      </c>
      <c r="R13" s="13"/>
      <c r="S13" s="89">
        <f>SUM(S11:S12)</f>
        <v>31934.312944234327</v>
      </c>
      <c r="T13" s="13"/>
      <c r="U13" s="89">
        <f>SUM(U11:U12)</f>
        <v>33531.028591446040</v>
      </c>
      <c r="V13" s="13"/>
      <c r="W13" s="89">
        <f>SUM(W11:W12)</f>
        <v>35207.580021018352</v>
      </c>
      <c r="X13" s="13"/>
      <c r="Y13" s="89">
        <f>SUM(Y11:Y12)</f>
        <v>36967.959022069270</v>
      </c>
      <c r="Z13" s="13"/>
      <c r="AA13" s="89">
        <f>SUM(AA11:AA12)</f>
        <v>38816.356973172733</v>
      </c>
      <c r="AB13" s="13"/>
      <c r="AC13" s="89">
        <f>SUM(AC11:AC12)</f>
        <v>40757.174821831373</v>
      </c>
      <c r="AD13" s="13"/>
      <c r="AE13" s="89">
        <f>SUM(AE11:AE12)</f>
        <v>42795.033562922938</v>
      </c>
      <c r="AF13" s="13"/>
      <c r="AG13" s="136">
        <f>SUM(AG11:AG12)</f>
        <v>44934.785241069090</v>
      </c>
    </row>
    <row r="14" ht="15.6" customHeight="1">
      <c r="A14" s="90"/>
      <c r="B14" s="73"/>
      <c r="C14" s="81"/>
      <c r="D14" s="7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68"/>
    </row>
    <row r="15" ht="15.6" customHeight="1">
      <c r="A15" t="s" s="80">
        <v>70</v>
      </c>
      <c r="B15" s="73"/>
      <c r="C15" s="81"/>
      <c r="D15" s="7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68"/>
    </row>
    <row r="16" ht="15.6" customHeight="1">
      <c r="A16" t="s" s="72">
        <v>37</v>
      </c>
      <c r="B16" s="73"/>
      <c r="C16" s="81">
        <f>'Inputs'!B42</f>
        <v>925</v>
      </c>
      <c r="D16" s="81"/>
      <c r="E16" s="132">
        <f>C16*(1+'Inputs'!$B$39)</f>
        <v>980.5</v>
      </c>
      <c r="F16" s="132"/>
      <c r="G16" s="132">
        <f>E16*(1+'Inputs'!$B$39)</f>
        <v>1039.33</v>
      </c>
      <c r="H16" s="132"/>
      <c r="I16" s="132">
        <f>G16*(1+'Inputs'!$B$39)</f>
        <v>1101.6898</v>
      </c>
      <c r="J16" s="132"/>
      <c r="K16" s="132">
        <f>I16*(1+'Inputs'!$B$39)</f>
        <v>1167.791188</v>
      </c>
      <c r="L16" s="132"/>
      <c r="M16" s="132">
        <f>K16*(1+'Inputs'!$B$39)</f>
        <v>1237.85865928</v>
      </c>
      <c r="N16" s="132"/>
      <c r="O16" s="132">
        <f>M16*(1+'Inputs'!$B$39)</f>
        <v>1312.1301788368</v>
      </c>
      <c r="P16" s="13"/>
      <c r="Q16" s="132">
        <f>O16*(1+'Inputs'!$B$39)</f>
        <v>1390.857989567009</v>
      </c>
      <c r="R16" s="13"/>
      <c r="S16" s="132">
        <f>Q16*(1+'Inputs'!$B$39)</f>
        <v>1474.309468941029</v>
      </c>
      <c r="T16" s="13"/>
      <c r="U16" s="132">
        <f>S16*(1+'Inputs'!$B$39)</f>
        <v>1562.768037077491</v>
      </c>
      <c r="V16" s="13"/>
      <c r="W16" s="132">
        <f>U16*(1+'Inputs'!$B$39)</f>
        <v>1656.534119302141</v>
      </c>
      <c r="X16" s="13"/>
      <c r="Y16" s="132">
        <f>W16*(1+'Inputs'!$B$39)</f>
        <v>1755.926166460269</v>
      </c>
      <c r="Z16" s="13"/>
      <c r="AA16" s="132">
        <f>Y16*(1+'Inputs'!$B$39)</f>
        <v>1861.281736447885</v>
      </c>
      <c r="AB16" s="13"/>
      <c r="AC16" s="132">
        <f>AA16*(1+'Inputs'!$B$39)</f>
        <v>1972.958640634758</v>
      </c>
      <c r="AD16" s="13"/>
      <c r="AE16" s="132">
        <f>AC16*(1+'Inputs'!$B$39)</f>
        <v>2091.336159072844</v>
      </c>
      <c r="AF16" s="13"/>
      <c r="AG16" s="133">
        <f>AE16*(1+'Inputs'!$B$39)</f>
        <v>2216.816328617215</v>
      </c>
    </row>
    <row r="17" ht="15.6" customHeight="1">
      <c r="A17" t="s" s="72">
        <v>38</v>
      </c>
      <c r="B17" s="73"/>
      <c r="C17" s="81">
        <f>'Inputs'!B43</f>
        <v>250</v>
      </c>
      <c r="D17" s="81"/>
      <c r="E17" s="132">
        <f>C17*(1.03)</f>
        <v>257.5</v>
      </c>
      <c r="F17" s="132"/>
      <c r="G17" s="132">
        <f>E17*(1.03)</f>
        <v>265.225</v>
      </c>
      <c r="H17" s="132"/>
      <c r="I17" s="132">
        <f>G17*(1.03)</f>
        <v>273.18175</v>
      </c>
      <c r="J17" s="132"/>
      <c r="K17" s="132">
        <f>I17*(1.03)</f>
        <v>281.3772025</v>
      </c>
      <c r="L17" s="132"/>
      <c r="M17" s="132">
        <f>K17*(1.03)</f>
        <v>289.818518575</v>
      </c>
      <c r="N17" s="132"/>
      <c r="O17" s="132">
        <f>M17*(1.03)</f>
        <v>298.513074132250</v>
      </c>
      <c r="P17" s="13"/>
      <c r="Q17" s="132">
        <f>O17*(1.03)</f>
        <v>307.4684663562176</v>
      </c>
      <c r="R17" s="13"/>
      <c r="S17" s="132">
        <f>Q17*(1.03)</f>
        <v>316.6925203469041</v>
      </c>
      <c r="T17" s="13"/>
      <c r="U17" s="132">
        <f>S17*(1.03)</f>
        <v>326.1932959573112</v>
      </c>
      <c r="V17" s="13"/>
      <c r="W17" s="132">
        <f>U17*(1.03)</f>
        <v>335.9790948360305</v>
      </c>
      <c r="X17" s="13"/>
      <c r="Y17" s="132">
        <f>W17*(1.03)</f>
        <v>346.0584676811114</v>
      </c>
      <c r="Z17" s="13"/>
      <c r="AA17" s="132">
        <f>Y17*(1.03)</f>
        <v>356.4402217115448</v>
      </c>
      <c r="AB17" s="13"/>
      <c r="AC17" s="132">
        <f>AA17*(1.03)</f>
        <v>367.1334283628912</v>
      </c>
      <c r="AD17" s="13"/>
      <c r="AE17" s="132">
        <f>AC17*(1.03)</f>
        <v>378.1474312137779</v>
      </c>
      <c r="AF17" s="13"/>
      <c r="AG17" s="133">
        <f>AE17*(1.03)</f>
        <v>389.4918541501913</v>
      </c>
    </row>
    <row r="18" ht="15.6" customHeight="1">
      <c r="A18" t="s" s="72">
        <v>39</v>
      </c>
      <c r="B18" s="73"/>
      <c r="C18" s="81">
        <f>'Inputs'!B44</f>
        <v>1800</v>
      </c>
      <c r="D18" s="81"/>
      <c r="E18" s="132">
        <f>C18*(1.03)</f>
        <v>1854</v>
      </c>
      <c r="F18" s="132"/>
      <c r="G18" s="132">
        <f>E18*(1.03)</f>
        <v>1909.62</v>
      </c>
      <c r="H18" s="132"/>
      <c r="I18" s="132">
        <f>G18*(1.03)</f>
        <v>1966.9086</v>
      </c>
      <c r="J18" s="132"/>
      <c r="K18" s="132">
        <f>I18*(1.03)</f>
        <v>2025.915858</v>
      </c>
      <c r="L18" s="132"/>
      <c r="M18" s="132">
        <f>K18*(1.03)</f>
        <v>2086.693333740001</v>
      </c>
      <c r="N18" s="132"/>
      <c r="O18" s="132">
        <f>M18*(1.03)</f>
        <v>2149.294133752201</v>
      </c>
      <c r="P18" s="13"/>
      <c r="Q18" s="132">
        <f>O18*(1.03)</f>
        <v>2213.772957764767</v>
      </c>
      <c r="R18" s="13"/>
      <c r="S18" s="132">
        <f>Q18*(1.03)</f>
        <v>2280.186146497710</v>
      </c>
      <c r="T18" s="13"/>
      <c r="U18" s="132">
        <f>S18*(1.03)</f>
        <v>2348.591730892641</v>
      </c>
      <c r="V18" s="13"/>
      <c r="W18" s="132">
        <f>U18*(1.03)</f>
        <v>2419.049482819421</v>
      </c>
      <c r="X18" s="13"/>
      <c r="Y18" s="132">
        <f>W18*(1.03)</f>
        <v>2491.620967304003</v>
      </c>
      <c r="Z18" s="13"/>
      <c r="AA18" s="132">
        <f>Y18*(1.03)</f>
        <v>2566.369596323123</v>
      </c>
      <c r="AB18" s="13"/>
      <c r="AC18" s="132">
        <f>AA18*(1.03)</f>
        <v>2643.360684212817</v>
      </c>
      <c r="AD18" s="13"/>
      <c r="AE18" s="132">
        <f>AC18*(1.03)</f>
        <v>2722.661504739202</v>
      </c>
      <c r="AF18" s="13"/>
      <c r="AG18" s="133">
        <f>AE18*(1.03)</f>
        <v>2804.341349881377</v>
      </c>
    </row>
    <row r="19" ht="15.6" customHeight="1">
      <c r="A19" t="s" s="72">
        <v>41</v>
      </c>
      <c r="B19" s="73"/>
      <c r="C19" s="81">
        <f>'Inputs'!B45</f>
        <v>1137.6</v>
      </c>
      <c r="D19" s="81"/>
      <c r="E19" s="132">
        <f>C19*1.03</f>
        <v>1171.728</v>
      </c>
      <c r="F19" s="132"/>
      <c r="G19" s="132">
        <f>E19*1.03</f>
        <v>1206.87984</v>
      </c>
      <c r="H19" s="132"/>
      <c r="I19" s="132">
        <f>G19*1.03</f>
        <v>1243.0862352</v>
      </c>
      <c r="J19" s="132"/>
      <c r="K19" s="132">
        <f>I19*1.03</f>
        <v>1280.378822256</v>
      </c>
      <c r="L19" s="132"/>
      <c r="M19" s="132">
        <f>K19*1.03</f>
        <v>1318.790186923680</v>
      </c>
      <c r="N19" s="132"/>
      <c r="O19" s="132">
        <f>M19*1.03</f>
        <v>1358.353892531391</v>
      </c>
      <c r="P19" s="13"/>
      <c r="Q19" s="132">
        <f>O19*1.03</f>
        <v>1399.104509307333</v>
      </c>
      <c r="R19" s="13"/>
      <c r="S19" s="132">
        <f>Q19*1.03</f>
        <v>1441.077644586553</v>
      </c>
      <c r="T19" s="13"/>
      <c r="U19" s="132">
        <f>S19*1.03</f>
        <v>1484.309973924149</v>
      </c>
      <c r="V19" s="13"/>
      <c r="W19" s="132">
        <f>U19*1.03</f>
        <v>1528.839273141874</v>
      </c>
      <c r="X19" s="13"/>
      <c r="Y19" s="132">
        <f>W19*1.03</f>
        <v>1574.704451336130</v>
      </c>
      <c r="Z19" s="13"/>
      <c r="AA19" s="132">
        <f>Y19*1.03</f>
        <v>1621.945584876214</v>
      </c>
      <c r="AB19" s="13"/>
      <c r="AC19" s="132">
        <f>AA19*1.03</f>
        <v>1670.6039524225</v>
      </c>
      <c r="AD19" s="13"/>
      <c r="AE19" s="132">
        <f>AC19*1.03</f>
        <v>1720.722070995175</v>
      </c>
      <c r="AF19" s="13"/>
      <c r="AG19" s="133">
        <f>AE19*1.03</f>
        <v>1772.343733125031</v>
      </c>
    </row>
    <row r="20" ht="15.6" customHeight="1">
      <c r="A20" t="s" s="72">
        <v>43</v>
      </c>
      <c r="B20" s="73"/>
      <c r="C20" s="81">
        <f>'Inputs'!B46</f>
        <v>0</v>
      </c>
      <c r="D20" s="81"/>
      <c r="E20" s="132">
        <f>C20*1.03</f>
        <v>0</v>
      </c>
      <c r="F20" s="132"/>
      <c r="G20" s="132">
        <f>E20*1.03</f>
        <v>0</v>
      </c>
      <c r="H20" s="132"/>
      <c r="I20" s="132">
        <f>G20*1.03</f>
        <v>0</v>
      </c>
      <c r="J20" s="132"/>
      <c r="K20" s="132">
        <f>I20*1.03</f>
        <v>0</v>
      </c>
      <c r="L20" s="132"/>
      <c r="M20" s="132">
        <f>K20*1.03</f>
        <v>0</v>
      </c>
      <c r="N20" s="132"/>
      <c r="O20" s="132">
        <f>M20*1.03</f>
        <v>0</v>
      </c>
      <c r="P20" s="13"/>
      <c r="Q20" s="132">
        <f>O20*1.03</f>
        <v>0</v>
      </c>
      <c r="R20" s="13"/>
      <c r="S20" s="132">
        <f>Q20*1.03</f>
        <v>0</v>
      </c>
      <c r="T20" s="13"/>
      <c r="U20" s="132">
        <f>S20*1.03</f>
        <v>0</v>
      </c>
      <c r="V20" s="13"/>
      <c r="W20" s="132">
        <f>U20*1.03</f>
        <v>0</v>
      </c>
      <c r="X20" s="13"/>
      <c r="Y20" s="132">
        <f>W20*1.03</f>
        <v>0</v>
      </c>
      <c r="Z20" s="13"/>
      <c r="AA20" s="132">
        <f>Y20*1.03</f>
        <v>0</v>
      </c>
      <c r="AB20" s="13"/>
      <c r="AC20" s="132">
        <f>AA20*1.03</f>
        <v>0</v>
      </c>
      <c r="AD20" s="13"/>
      <c r="AE20" s="132">
        <f>AC20*1.03</f>
        <v>0</v>
      </c>
      <c r="AF20" s="13"/>
      <c r="AG20" s="133">
        <f>AE20*1.03</f>
        <v>0</v>
      </c>
    </row>
    <row r="21" ht="15.6" customHeight="1">
      <c r="A21" t="s" s="72">
        <v>74</v>
      </c>
      <c r="B21" s="73"/>
      <c r="C21" s="81">
        <f>'Inputs'!B47</f>
        <v>0</v>
      </c>
      <c r="D21" s="81"/>
      <c r="E21" s="132">
        <f>C21*1.03</f>
        <v>0</v>
      </c>
      <c r="F21" s="132"/>
      <c r="G21" s="132">
        <f>E21*1.03</f>
        <v>0</v>
      </c>
      <c r="H21" s="132"/>
      <c r="I21" s="132">
        <f>G21*1.03</f>
        <v>0</v>
      </c>
      <c r="J21" s="132"/>
      <c r="K21" s="132">
        <f>I21*1.03</f>
        <v>0</v>
      </c>
      <c r="L21" s="132"/>
      <c r="M21" s="132">
        <f>K21*1.03</f>
        <v>0</v>
      </c>
      <c r="N21" s="132"/>
      <c r="O21" s="132">
        <f>M21*1.03</f>
        <v>0</v>
      </c>
      <c r="P21" s="13"/>
      <c r="Q21" s="132">
        <f>O21*1.03</f>
        <v>0</v>
      </c>
      <c r="R21" s="13"/>
      <c r="S21" s="132">
        <f>Q21*1.03</f>
        <v>0</v>
      </c>
      <c r="T21" s="13"/>
      <c r="U21" s="132">
        <f>S21*1.03</f>
        <v>0</v>
      </c>
      <c r="V21" s="13"/>
      <c r="W21" s="132">
        <f>U21*1.03</f>
        <v>0</v>
      </c>
      <c r="X21" s="13"/>
      <c r="Y21" s="132">
        <f>W21*1.03</f>
        <v>0</v>
      </c>
      <c r="Z21" s="13"/>
      <c r="AA21" s="132">
        <f>Y21*1.03</f>
        <v>0</v>
      </c>
      <c r="AB21" s="13"/>
      <c r="AC21" s="132">
        <f>AA21*1.03</f>
        <v>0</v>
      </c>
      <c r="AD21" s="13"/>
      <c r="AE21" s="132">
        <f>AC21*1.03</f>
        <v>0</v>
      </c>
      <c r="AF21" s="13"/>
      <c r="AG21" s="133">
        <f>AE21*1.03</f>
        <v>0</v>
      </c>
    </row>
    <row r="22" ht="15.6" customHeight="1">
      <c r="A22" t="s" s="72">
        <v>75</v>
      </c>
      <c r="B22" s="73"/>
      <c r="C22" s="81">
        <f>'Inputs'!B48</f>
        <v>0</v>
      </c>
      <c r="D22" s="81"/>
      <c r="E22" s="132">
        <f>C22*1.03</f>
        <v>0</v>
      </c>
      <c r="F22" s="132"/>
      <c r="G22" s="132">
        <f>E22*1.03</f>
        <v>0</v>
      </c>
      <c r="H22" s="132"/>
      <c r="I22" s="132">
        <f>G22*1.03</f>
        <v>0</v>
      </c>
      <c r="J22" s="132"/>
      <c r="K22" s="132">
        <f>I22*1.03</f>
        <v>0</v>
      </c>
      <c r="L22" s="132"/>
      <c r="M22" s="132">
        <f>K22*1.03</f>
        <v>0</v>
      </c>
      <c r="N22" s="132"/>
      <c r="O22" s="132">
        <f>M22*1.03</f>
        <v>0</v>
      </c>
      <c r="P22" s="13"/>
      <c r="Q22" s="132">
        <f>O22*1.03</f>
        <v>0</v>
      </c>
      <c r="R22" s="13"/>
      <c r="S22" s="132">
        <f>Q22*1.03</f>
        <v>0</v>
      </c>
      <c r="T22" s="13"/>
      <c r="U22" s="132">
        <f>S22*1.03</f>
        <v>0</v>
      </c>
      <c r="V22" s="13"/>
      <c r="W22" s="132">
        <f>U22*1.03</f>
        <v>0</v>
      </c>
      <c r="X22" s="13"/>
      <c r="Y22" s="132">
        <f>W22*1.03</f>
        <v>0</v>
      </c>
      <c r="Z22" s="13"/>
      <c r="AA22" s="132">
        <f>Y22*1.03</f>
        <v>0</v>
      </c>
      <c r="AB22" s="13"/>
      <c r="AC22" s="132">
        <f>AA22*1.03</f>
        <v>0</v>
      </c>
      <c r="AD22" s="13"/>
      <c r="AE22" s="132">
        <f>AC22*1.03</f>
        <v>0</v>
      </c>
      <c r="AF22" s="13"/>
      <c r="AG22" s="133">
        <f>AE22*1.03</f>
        <v>0</v>
      </c>
    </row>
    <row r="23" ht="15.6" customHeight="1">
      <c r="A23" t="s" s="72">
        <v>76</v>
      </c>
      <c r="B23" s="73"/>
      <c r="C23" s="81">
        <f>'Inputs'!B49</f>
        <v>0</v>
      </c>
      <c r="D23" s="81"/>
      <c r="E23" s="132">
        <f>C23*1.03</f>
        <v>0</v>
      </c>
      <c r="F23" s="132"/>
      <c r="G23" s="132">
        <f>E23*1.03</f>
        <v>0</v>
      </c>
      <c r="H23" s="132"/>
      <c r="I23" s="132">
        <f>G23*1.03</f>
        <v>0</v>
      </c>
      <c r="J23" s="132"/>
      <c r="K23" s="132">
        <f>I23*1.03</f>
        <v>0</v>
      </c>
      <c r="L23" s="132"/>
      <c r="M23" s="132">
        <f>K23*1.03</f>
        <v>0</v>
      </c>
      <c r="N23" s="132"/>
      <c r="O23" s="132">
        <f>M23*1.03</f>
        <v>0</v>
      </c>
      <c r="P23" s="13"/>
      <c r="Q23" s="132">
        <f>O23*1.03</f>
        <v>0</v>
      </c>
      <c r="R23" s="13"/>
      <c r="S23" s="132">
        <f>Q23*1.03</f>
        <v>0</v>
      </c>
      <c r="T23" s="13"/>
      <c r="U23" s="132">
        <f>S23*1.03</f>
        <v>0</v>
      </c>
      <c r="V23" s="13"/>
      <c r="W23" s="132">
        <f>U23*1.03</f>
        <v>0</v>
      </c>
      <c r="X23" s="13"/>
      <c r="Y23" s="132">
        <f>W23*1.03</f>
        <v>0</v>
      </c>
      <c r="Z23" s="13"/>
      <c r="AA23" s="132">
        <f>Y23*1.03</f>
        <v>0</v>
      </c>
      <c r="AB23" s="13"/>
      <c r="AC23" s="132">
        <f>AA23*1.03</f>
        <v>0</v>
      </c>
      <c r="AD23" s="13"/>
      <c r="AE23" s="132">
        <f>AC23*1.03</f>
        <v>0</v>
      </c>
      <c r="AF23" s="13"/>
      <c r="AG23" s="133">
        <f>AE23*1.03</f>
        <v>0</v>
      </c>
    </row>
    <row r="24" ht="15.6" customHeight="1">
      <c r="A24" t="s" s="72">
        <v>47</v>
      </c>
      <c r="B24" s="73"/>
      <c r="C24" s="81">
        <f>'Inputs'!B50</f>
        <v>0</v>
      </c>
      <c r="D24" s="81"/>
      <c r="E24" s="132">
        <f>C24*1.03</f>
        <v>0</v>
      </c>
      <c r="F24" s="132"/>
      <c r="G24" s="132">
        <f>E24*1.03</f>
        <v>0</v>
      </c>
      <c r="H24" s="132"/>
      <c r="I24" s="132">
        <f>G24*1.03</f>
        <v>0</v>
      </c>
      <c r="J24" s="132"/>
      <c r="K24" s="132">
        <f>I24*1.03</f>
        <v>0</v>
      </c>
      <c r="L24" s="132"/>
      <c r="M24" s="132">
        <f>K24*1.03</f>
        <v>0</v>
      </c>
      <c r="N24" s="132"/>
      <c r="O24" s="132">
        <f>M24*1.03</f>
        <v>0</v>
      </c>
      <c r="P24" s="13"/>
      <c r="Q24" s="132">
        <f>O24*1.03</f>
        <v>0</v>
      </c>
      <c r="R24" s="13"/>
      <c r="S24" s="132">
        <f>Q24*1.03</f>
        <v>0</v>
      </c>
      <c r="T24" s="13"/>
      <c r="U24" s="132">
        <f>S24*1.03</f>
        <v>0</v>
      </c>
      <c r="V24" s="13"/>
      <c r="W24" s="132">
        <f>U24*1.03</f>
        <v>0</v>
      </c>
      <c r="X24" s="13"/>
      <c r="Y24" s="132">
        <f>W24*1.03</f>
        <v>0</v>
      </c>
      <c r="Z24" s="13"/>
      <c r="AA24" s="132">
        <f>Y24*1.03</f>
        <v>0</v>
      </c>
      <c r="AB24" s="13"/>
      <c r="AC24" s="132">
        <f>AA24*1.03</f>
        <v>0</v>
      </c>
      <c r="AD24" s="13"/>
      <c r="AE24" s="132">
        <f>AC24*1.03</f>
        <v>0</v>
      </c>
      <c r="AF24" s="13"/>
      <c r="AG24" s="133">
        <f>AE24*1.03</f>
        <v>0</v>
      </c>
    </row>
    <row r="25" ht="15.6" customHeight="1">
      <c r="A25" t="s" s="72">
        <f>'Inputs'!A51</f>
        <v>48</v>
      </c>
      <c r="B25" s="73"/>
      <c r="C25" s="81">
        <f>'Inputs'!B51</f>
        <v>2400</v>
      </c>
      <c r="D25" s="81"/>
      <c r="E25" s="132">
        <f>C25*1.03</f>
        <v>2472</v>
      </c>
      <c r="F25" s="132"/>
      <c r="G25" s="132">
        <f>E25*1.03</f>
        <v>2546.16</v>
      </c>
      <c r="H25" s="132"/>
      <c r="I25" s="132">
        <f>G25*1.03</f>
        <v>2622.5448</v>
      </c>
      <c r="J25" s="132"/>
      <c r="K25" s="132">
        <f>I25*1.03</f>
        <v>2701.221144</v>
      </c>
      <c r="L25" s="132"/>
      <c r="M25" s="132">
        <f>K25*1.03</f>
        <v>2782.25777832</v>
      </c>
      <c r="N25" s="132"/>
      <c r="O25" s="132">
        <f>M25*1.03</f>
        <v>2865.7255116696</v>
      </c>
      <c r="P25" s="13"/>
      <c r="Q25" s="132">
        <f>O25*1.03</f>
        <v>2951.697277019688</v>
      </c>
      <c r="R25" s="13"/>
      <c r="S25" s="132">
        <f>Q25*1.03</f>
        <v>3040.248195330279</v>
      </c>
      <c r="T25" s="13"/>
      <c r="U25" s="132">
        <f>S25*1.03</f>
        <v>3131.455641190187</v>
      </c>
      <c r="V25" s="13"/>
      <c r="W25" s="132">
        <f>U25*1.03</f>
        <v>3225.399310425893</v>
      </c>
      <c r="X25" s="13"/>
      <c r="Y25" s="132">
        <f>W25*1.03</f>
        <v>3322.161289738670</v>
      </c>
      <c r="Z25" s="13"/>
      <c r="AA25" s="132">
        <f>Y25*1.03</f>
        <v>3421.826128430830</v>
      </c>
      <c r="AB25" s="13"/>
      <c r="AC25" s="132">
        <f>AA25*1.03</f>
        <v>3524.480912283755</v>
      </c>
      <c r="AD25" s="13"/>
      <c r="AE25" s="132">
        <f>AC25*1.03</f>
        <v>3630.215339652268</v>
      </c>
      <c r="AF25" s="13"/>
      <c r="AG25" s="133">
        <f>AE25*1.03</f>
        <v>3739.121799841836</v>
      </c>
    </row>
    <row r="26" ht="15.6" customHeight="1">
      <c r="A26" t="s" s="72">
        <f>'Inputs'!A52</f>
        <v>49</v>
      </c>
      <c r="B26" s="73"/>
      <c r="C26" s="81">
        <f>'Inputs'!B52</f>
        <v>0</v>
      </c>
      <c r="D26" s="81"/>
      <c r="E26" s="132">
        <f>C26*1.03</f>
        <v>0</v>
      </c>
      <c r="F26" s="132"/>
      <c r="G26" s="132">
        <f>E26*1.03</f>
        <v>0</v>
      </c>
      <c r="H26" s="132"/>
      <c r="I26" s="132">
        <f>G26*1.03</f>
        <v>0</v>
      </c>
      <c r="J26" s="132"/>
      <c r="K26" s="132">
        <f>I26*1.03</f>
        <v>0</v>
      </c>
      <c r="L26" s="132"/>
      <c r="M26" s="132">
        <f>K26*1.03</f>
        <v>0</v>
      </c>
      <c r="N26" s="132"/>
      <c r="O26" s="132">
        <f>M26*1.03</f>
        <v>0</v>
      </c>
      <c r="P26" s="13"/>
      <c r="Q26" s="132">
        <f>O26*1.03</f>
        <v>0</v>
      </c>
      <c r="R26" s="13"/>
      <c r="S26" s="132">
        <f>Q26*1.03</f>
        <v>0</v>
      </c>
      <c r="T26" s="13"/>
      <c r="U26" s="132">
        <f>S26*1.03</f>
        <v>0</v>
      </c>
      <c r="V26" s="13"/>
      <c r="W26" s="132">
        <f>U26*1.03</f>
        <v>0</v>
      </c>
      <c r="X26" s="13"/>
      <c r="Y26" s="132">
        <f>W26*1.03</f>
        <v>0</v>
      </c>
      <c r="Z26" s="13"/>
      <c r="AA26" s="132">
        <f>Y26*1.03</f>
        <v>0</v>
      </c>
      <c r="AB26" s="13"/>
      <c r="AC26" s="132">
        <f>AA26*1.03</f>
        <v>0</v>
      </c>
      <c r="AD26" s="13"/>
      <c r="AE26" s="132">
        <f>AC26*1.03</f>
        <v>0</v>
      </c>
      <c r="AF26" s="13"/>
      <c r="AG26" s="133">
        <f>AE26*1.03</f>
        <v>0</v>
      </c>
    </row>
    <row r="27" ht="15.6" customHeight="1">
      <c r="A27" t="s" s="72">
        <f>'Inputs'!A53</f>
        <v>49</v>
      </c>
      <c r="B27" s="73"/>
      <c r="C27" s="81">
        <f>'Inputs'!B53</f>
        <v>0</v>
      </c>
      <c r="D27" s="81"/>
      <c r="E27" s="132">
        <f>C27*1.03</f>
        <v>0</v>
      </c>
      <c r="F27" s="132"/>
      <c r="G27" s="132">
        <f>E27*1.03</f>
        <v>0</v>
      </c>
      <c r="H27" s="132"/>
      <c r="I27" s="132">
        <f>G27*1.03</f>
        <v>0</v>
      </c>
      <c r="J27" s="132"/>
      <c r="K27" s="132">
        <f>I27*1.03</f>
        <v>0</v>
      </c>
      <c r="L27" s="132"/>
      <c r="M27" s="132">
        <f>K27*1.03</f>
        <v>0</v>
      </c>
      <c r="N27" s="132"/>
      <c r="O27" s="132">
        <f>M27*1.03</f>
        <v>0</v>
      </c>
      <c r="P27" s="13"/>
      <c r="Q27" s="132">
        <f>O27*1.03</f>
        <v>0</v>
      </c>
      <c r="R27" s="13"/>
      <c r="S27" s="132">
        <f>Q27*1.03</f>
        <v>0</v>
      </c>
      <c r="T27" s="13"/>
      <c r="U27" s="132">
        <f>S27*1.03</f>
        <v>0</v>
      </c>
      <c r="V27" s="13"/>
      <c r="W27" s="132">
        <f>U27*1.03</f>
        <v>0</v>
      </c>
      <c r="X27" s="13"/>
      <c r="Y27" s="132">
        <f>W27*1.03</f>
        <v>0</v>
      </c>
      <c r="Z27" s="13"/>
      <c r="AA27" s="132">
        <f>Y27*1.03</f>
        <v>0</v>
      </c>
      <c r="AB27" s="13"/>
      <c r="AC27" s="132">
        <f>AA27*1.03</f>
        <v>0</v>
      </c>
      <c r="AD27" s="13"/>
      <c r="AE27" s="132">
        <f>AC27*1.03</f>
        <v>0</v>
      </c>
      <c r="AF27" s="13"/>
      <c r="AG27" s="133">
        <f>AE27*1.03</f>
        <v>0</v>
      </c>
    </row>
    <row r="28" ht="15.6" customHeight="1">
      <c r="A28" t="s" s="72">
        <f>'Inputs'!A54</f>
        <v>49</v>
      </c>
      <c r="B28" s="73"/>
      <c r="C28" s="81">
        <f>'Inputs'!B54</f>
        <v>0</v>
      </c>
      <c r="D28" s="81"/>
      <c r="E28" s="132">
        <f>C28*1.03</f>
        <v>0</v>
      </c>
      <c r="F28" s="132"/>
      <c r="G28" s="132">
        <f>E28*1.03</f>
        <v>0</v>
      </c>
      <c r="H28" s="132"/>
      <c r="I28" s="132">
        <f>G28*1.03</f>
        <v>0</v>
      </c>
      <c r="J28" s="132"/>
      <c r="K28" s="132">
        <f>I28*1.03</f>
        <v>0</v>
      </c>
      <c r="L28" s="132"/>
      <c r="M28" s="132">
        <f>K28*1.03</f>
        <v>0</v>
      </c>
      <c r="N28" s="132"/>
      <c r="O28" s="132">
        <f>M28*1.03</f>
        <v>0</v>
      </c>
      <c r="P28" s="13"/>
      <c r="Q28" s="132">
        <f>O28*1.03</f>
        <v>0</v>
      </c>
      <c r="R28" s="13"/>
      <c r="S28" s="132">
        <f>Q28*1.03</f>
        <v>0</v>
      </c>
      <c r="T28" s="13"/>
      <c r="U28" s="132">
        <f>S28*1.03</f>
        <v>0</v>
      </c>
      <c r="V28" s="13"/>
      <c r="W28" s="132">
        <f>U28*1.03</f>
        <v>0</v>
      </c>
      <c r="X28" s="13"/>
      <c r="Y28" s="132">
        <f>W28*1.03</f>
        <v>0</v>
      </c>
      <c r="Z28" s="13"/>
      <c r="AA28" s="132">
        <f>Y28*1.03</f>
        <v>0</v>
      </c>
      <c r="AB28" s="13"/>
      <c r="AC28" s="132">
        <f>AA28*1.03</f>
        <v>0</v>
      </c>
      <c r="AD28" s="13"/>
      <c r="AE28" s="132">
        <f>AC28*1.03</f>
        <v>0</v>
      </c>
      <c r="AF28" s="13"/>
      <c r="AG28" s="133">
        <f>AE28*1.03</f>
        <v>0</v>
      </c>
    </row>
    <row r="29" ht="15.6" customHeight="1">
      <c r="A29" t="s" s="72">
        <f>'Inputs'!A55</f>
        <v>49</v>
      </c>
      <c r="B29" s="73"/>
      <c r="C29" s="81">
        <f>'Inputs'!B55</f>
        <v>0</v>
      </c>
      <c r="D29" s="81"/>
      <c r="E29" s="132">
        <f>C29*1.03</f>
        <v>0</v>
      </c>
      <c r="F29" s="132"/>
      <c r="G29" s="132">
        <f>E29*1.03</f>
        <v>0</v>
      </c>
      <c r="H29" s="132"/>
      <c r="I29" s="132">
        <f>G29*1.03</f>
        <v>0</v>
      </c>
      <c r="J29" s="132"/>
      <c r="K29" s="132">
        <f>I29*1.03</f>
        <v>0</v>
      </c>
      <c r="L29" s="132"/>
      <c r="M29" s="132">
        <f>K29*1.03</f>
        <v>0</v>
      </c>
      <c r="N29" s="132"/>
      <c r="O29" s="132">
        <f>M29*1.03</f>
        <v>0</v>
      </c>
      <c r="P29" s="13"/>
      <c r="Q29" s="132">
        <f>O29*1.03</f>
        <v>0</v>
      </c>
      <c r="R29" s="13"/>
      <c r="S29" s="132">
        <f>Q29*1.03</f>
        <v>0</v>
      </c>
      <c r="T29" s="13"/>
      <c r="U29" s="132">
        <f>S29*1.03</f>
        <v>0</v>
      </c>
      <c r="V29" s="13"/>
      <c r="W29" s="132">
        <f>U29*1.03</f>
        <v>0</v>
      </c>
      <c r="X29" s="13"/>
      <c r="Y29" s="132">
        <f>W29*1.03</f>
        <v>0</v>
      </c>
      <c r="Z29" s="13"/>
      <c r="AA29" s="132">
        <f>Y29*1.03</f>
        <v>0</v>
      </c>
      <c r="AB29" s="13"/>
      <c r="AC29" s="132">
        <f>AA29*1.03</f>
        <v>0</v>
      </c>
      <c r="AD29" s="13"/>
      <c r="AE29" s="132">
        <f>AC29*1.03</f>
        <v>0</v>
      </c>
      <c r="AF29" s="13"/>
      <c r="AG29" s="133">
        <f>AE29*1.03</f>
        <v>0</v>
      </c>
    </row>
    <row r="30" ht="16.2" customHeight="1">
      <c r="A30" t="s" s="72">
        <f>'Inputs'!A56</f>
        <v>49</v>
      </c>
      <c r="B30" s="73"/>
      <c r="C30" s="86">
        <f>'Inputs'!B56</f>
        <v>0</v>
      </c>
      <c r="D30" s="81"/>
      <c r="E30" s="134">
        <f>C30*1.03</f>
        <v>0</v>
      </c>
      <c r="F30" s="132"/>
      <c r="G30" s="134">
        <f>E30*1.03</f>
        <v>0</v>
      </c>
      <c r="H30" s="132"/>
      <c r="I30" s="134">
        <f>G30*1.03</f>
        <v>0</v>
      </c>
      <c r="J30" s="132"/>
      <c r="K30" s="134">
        <f>I30*1.03</f>
        <v>0</v>
      </c>
      <c r="L30" s="132"/>
      <c r="M30" s="134">
        <f>K30*1.03</f>
        <v>0</v>
      </c>
      <c r="N30" s="132"/>
      <c r="O30" s="134">
        <f>M30*1.03</f>
        <v>0</v>
      </c>
      <c r="P30" s="13"/>
      <c r="Q30" s="134">
        <f>O30*1.03</f>
        <v>0</v>
      </c>
      <c r="R30" s="13"/>
      <c r="S30" s="134">
        <f>Q30*1.03</f>
        <v>0</v>
      </c>
      <c r="T30" s="13"/>
      <c r="U30" s="134">
        <f>S30*1.03</f>
        <v>0</v>
      </c>
      <c r="V30" s="13"/>
      <c r="W30" s="134">
        <f>U30*1.03</f>
        <v>0</v>
      </c>
      <c r="X30" s="13"/>
      <c r="Y30" s="134">
        <f>W30*1.03</f>
        <v>0</v>
      </c>
      <c r="Z30" s="13"/>
      <c r="AA30" s="134">
        <f>Y30*1.03</f>
        <v>0</v>
      </c>
      <c r="AB30" s="13"/>
      <c r="AC30" s="134">
        <f>AA30*1.03</f>
        <v>0</v>
      </c>
      <c r="AD30" s="13"/>
      <c r="AE30" s="134">
        <f>AC30*1.03</f>
        <v>0</v>
      </c>
      <c r="AF30" s="13"/>
      <c r="AG30" s="135">
        <f>AE30*1.03</f>
        <v>0</v>
      </c>
    </row>
    <row r="31" ht="15.6" customHeight="1">
      <c r="A31" t="s" s="69">
        <v>77</v>
      </c>
      <c r="B31" s="73"/>
      <c r="C31" s="89">
        <f>SUM(C16:C30)</f>
        <v>6512.6</v>
      </c>
      <c r="D31" s="81"/>
      <c r="E31" s="89">
        <f>SUM(E16:E30)</f>
        <v>6735.728</v>
      </c>
      <c r="F31" s="132"/>
      <c r="G31" s="89">
        <f>SUM(G16:G30)</f>
        <v>6967.214840000001</v>
      </c>
      <c r="H31" s="132"/>
      <c r="I31" s="89">
        <f>SUM(I16:I30)</f>
        <v>7207.411185200001</v>
      </c>
      <c r="J31" s="132"/>
      <c r="K31" s="89">
        <f>SUM(K16:K30)</f>
        <v>7456.684214756001</v>
      </c>
      <c r="L31" s="96"/>
      <c r="M31" s="89">
        <f>SUM(M16:M30)</f>
        <v>7715.418476838680</v>
      </c>
      <c r="N31" s="96"/>
      <c r="O31" s="89">
        <f>SUM(O16:O30)</f>
        <v>7984.016790922242</v>
      </c>
      <c r="P31" s="13"/>
      <c r="Q31" s="89">
        <f>SUM(Q16:Q30)</f>
        <v>8262.901200015014</v>
      </c>
      <c r="R31" s="13"/>
      <c r="S31" s="89">
        <f>SUM(S16:S30)</f>
        <v>8552.513975702474</v>
      </c>
      <c r="T31" s="13"/>
      <c r="U31" s="89">
        <f>SUM(U16:U30)</f>
        <v>8853.318679041780</v>
      </c>
      <c r="V31" s="13"/>
      <c r="W31" s="89">
        <f>SUM(W16:W30)</f>
        <v>9165.801280525358</v>
      </c>
      <c r="X31" s="13"/>
      <c r="Y31" s="89">
        <f>SUM(Y16:Y30)</f>
        <v>9490.471342520183</v>
      </c>
      <c r="Z31" s="13"/>
      <c r="AA31" s="89">
        <f>SUM(AA16:AA30)</f>
        <v>9827.863267789597</v>
      </c>
      <c r="AB31" s="13"/>
      <c r="AC31" s="89">
        <f>SUM(AC16:AC30)</f>
        <v>10178.537617916722</v>
      </c>
      <c r="AD31" s="13"/>
      <c r="AE31" s="89">
        <f>SUM(AE16:AE30)</f>
        <v>10543.082505673266</v>
      </c>
      <c r="AF31" s="13"/>
      <c r="AG31" s="136">
        <f>SUM(AG16:AG30)</f>
        <v>10922.115065615650</v>
      </c>
    </row>
    <row r="32" ht="15.6" customHeight="1">
      <c r="A32" s="90"/>
      <c r="B32" s="73"/>
      <c r="C32" s="81"/>
      <c r="D32" s="81"/>
      <c r="E32" s="132"/>
      <c r="F32" s="132"/>
      <c r="G32" s="132"/>
      <c r="H32" s="132"/>
      <c r="I32" s="132"/>
      <c r="J32" s="132"/>
      <c r="K32" s="132"/>
      <c r="L32" s="132"/>
      <c r="M32" s="132"/>
      <c r="N32" s="132"/>
      <c r="O32" s="132"/>
      <c r="P32" s="13"/>
      <c r="Q32" s="132"/>
      <c r="R32" s="13"/>
      <c r="S32" s="132"/>
      <c r="T32" s="13"/>
      <c r="U32" s="132"/>
      <c r="V32" s="13"/>
      <c r="W32" s="132"/>
      <c r="X32" s="13"/>
      <c r="Y32" s="132"/>
      <c r="Z32" s="13"/>
      <c r="AA32" s="132"/>
      <c r="AB32" s="13"/>
      <c r="AC32" s="132"/>
      <c r="AD32" s="13"/>
      <c r="AE32" s="132"/>
      <c r="AF32" s="13"/>
      <c r="AG32" s="133"/>
    </row>
    <row r="33" ht="15.6" customHeight="1">
      <c r="A33" t="s" s="69">
        <v>78</v>
      </c>
      <c r="B33" s="73"/>
      <c r="C33" s="96">
        <f>C13-C31</f>
        <v>15101.8</v>
      </c>
      <c r="D33" s="81"/>
      <c r="E33" s="96">
        <f>E13-E31</f>
        <v>15959.392</v>
      </c>
      <c r="F33" s="132"/>
      <c r="G33" s="96">
        <f>G13-G31</f>
        <v>16862.66116</v>
      </c>
      <c r="H33" s="132"/>
      <c r="I33" s="96">
        <f>I13-I31</f>
        <v>17813.9586148</v>
      </c>
      <c r="J33" s="132"/>
      <c r="K33" s="96">
        <f>K13-K31</f>
        <v>18815.754075244</v>
      </c>
      <c r="L33" s="96"/>
      <c r="M33" s="96">
        <f>M13-M31</f>
        <v>19870.641727661325</v>
      </c>
      <c r="N33" s="96"/>
      <c r="O33" s="96">
        <f>O13-O31</f>
        <v>20981.346423802766</v>
      </c>
      <c r="P33" s="13"/>
      <c r="Q33" s="96">
        <f>Q13-Q31</f>
        <v>22150.730175446246</v>
      </c>
      <c r="R33" s="13"/>
      <c r="S33" s="96">
        <f>S13-S31</f>
        <v>23381.798968531853</v>
      </c>
      <c r="T33" s="13"/>
      <c r="U33" s="96">
        <f>U13-U31</f>
        <v>24677.709912404258</v>
      </c>
      <c r="V33" s="13"/>
      <c r="W33" s="96">
        <f>W13-W31</f>
        <v>26041.778740492991</v>
      </c>
      <c r="X33" s="13"/>
      <c r="Y33" s="96">
        <f>Y13-Y31</f>
        <v>27477.487679549085</v>
      </c>
      <c r="Z33" s="13"/>
      <c r="AA33" s="96">
        <f>AA13-AA31</f>
        <v>28988.493705383138</v>
      </c>
      <c r="AB33" s="13"/>
      <c r="AC33" s="96">
        <f>AC13-AC31</f>
        <v>30578.637203914652</v>
      </c>
      <c r="AD33" s="13"/>
      <c r="AE33" s="96">
        <f>AE13-AE31</f>
        <v>32251.951057249673</v>
      </c>
      <c r="AF33" s="13"/>
      <c r="AG33" s="137">
        <f>AG13-AG31</f>
        <v>34012.670175453444</v>
      </c>
    </row>
    <row r="34" ht="15" customHeight="1">
      <c r="A34" s="24"/>
      <c r="B34" s="13"/>
      <c r="C34" s="132"/>
      <c r="D34" s="132"/>
      <c r="E34" s="132"/>
      <c r="F34" s="132"/>
      <c r="G34" s="132"/>
      <c r="H34" s="132"/>
      <c r="I34" s="132"/>
      <c r="J34" s="132"/>
      <c r="K34" s="132"/>
      <c r="L34" s="132"/>
      <c r="M34" s="132"/>
      <c r="N34" s="132"/>
      <c r="O34" s="132"/>
      <c r="P34" s="13"/>
      <c r="Q34" s="132"/>
      <c r="R34" s="13"/>
      <c r="S34" s="132"/>
      <c r="T34" s="13"/>
      <c r="U34" s="132"/>
      <c r="V34" s="13"/>
      <c r="W34" s="132"/>
      <c r="X34" s="13"/>
      <c r="Y34" s="132"/>
      <c r="Z34" s="13"/>
      <c r="AA34" s="132"/>
      <c r="AB34" s="13"/>
      <c r="AC34" s="132"/>
      <c r="AD34" s="13"/>
      <c r="AE34" s="132"/>
      <c r="AF34" s="13"/>
      <c r="AG34" s="133"/>
    </row>
    <row r="35" ht="15.6" customHeight="1">
      <c r="A35" t="s" s="72">
        <v>79</v>
      </c>
      <c r="B35" s="13"/>
      <c r="C35" s="81">
        <f>PMT('Inputs'!B24/12,'Inputs'!B25*12,'Inputs'!B19,0)*12</f>
        <v>-9254.511287566987</v>
      </c>
      <c r="D35" s="132"/>
      <c r="E35" s="81">
        <f>IF(C40&gt;0,PMT('Inputs'!$B$24/12,'Inputs'!B25*12,'Inputs'!$B$19,0)*12,0)</f>
        <v>-9254.511287566987</v>
      </c>
      <c r="F35" s="132"/>
      <c r="G35" s="81">
        <f>IF(E40&gt;0,PMT('Inputs'!$B$24/12,'Inputs'!B25*12,'Inputs'!$B$19,0)*12,0)</f>
        <v>-9254.511287566987</v>
      </c>
      <c r="H35" s="132"/>
      <c r="I35" s="81">
        <f>IF(G40&gt;0,PMT('Inputs'!$B$24/12,'Inputs'!B25*12,'Inputs'!$B$19,0)*12,0)</f>
        <v>-9254.511287566987</v>
      </c>
      <c r="J35" s="132"/>
      <c r="K35" s="81">
        <f>IF(I40&gt;0,PMT('Inputs'!$B$24/12,'Inputs'!B25*12,'Inputs'!$B$19,0)*12)</f>
        <v>-9254.511287566987</v>
      </c>
      <c r="L35" s="81"/>
      <c r="M35" s="81">
        <f>IF(K40&gt;0,PMT('Inputs'!B24/12,'Inputs'!B25*12,'Inputs'!B19,0)*12,0)</f>
        <v>-9254.511287566987</v>
      </c>
      <c r="N35" s="81"/>
      <c r="O35" s="81">
        <f>IF(M40&gt;0,PMT('Inputs'!B24/12,'Inputs'!B25*12,'Inputs'!B19,0)*12)</f>
        <v>-9254.511287566987</v>
      </c>
      <c r="P35" s="13"/>
      <c r="Q35" s="81">
        <f>IF(O40&gt;0,PMT('Inputs'!B24/12,'Inputs'!B25*12,'Inputs'!B19,0)*12)</f>
        <v>-9254.511287566987</v>
      </c>
      <c r="R35" s="13"/>
      <c r="S35" s="81">
        <f>IF(Q40&gt;0,PMT('Inputs'!B24/12,'Inputs'!B25*12,'Inputs'!B19,0)*12,0)</f>
        <v>-9254.511287566987</v>
      </c>
      <c r="T35" s="13"/>
      <c r="U35" s="81">
        <f>IF(S40&gt;0,PMT('Inputs'!B24/12,'Inputs'!B25*12,'Inputs'!B19,0)*12,0)</f>
        <v>-9254.511287566987</v>
      </c>
      <c r="V35" s="13"/>
      <c r="W35" s="81">
        <f>IF(U40&gt;0,PMT('Inputs'!B24/12,'Inputs'!B25*12,'Inputs'!B19,0)*12,0)</f>
        <v>-9254.511287566987</v>
      </c>
      <c r="X35" s="13"/>
      <c r="Y35" s="81">
        <f>IF(W40&gt;0,PMT('Inputs'!B24/12,'Inputs'!B25*12,'Inputs'!B19,0)*12,0)</f>
        <v>0</v>
      </c>
      <c r="Z35" s="13"/>
      <c r="AA35" s="81">
        <f>IF(Y40&gt;0,PMT('Inputs'!B24/12,'Inputs'!B25*12,'Inputs'!B19,0)*12,0)</f>
        <v>0</v>
      </c>
      <c r="AB35" s="13"/>
      <c r="AC35" s="81">
        <f>IF(AA40&gt;0,PMT('Inputs'!B24/12,'Inputs'!B25*12,'Inputs'!B19,0)*12,0)</f>
        <v>0</v>
      </c>
      <c r="AD35" s="13"/>
      <c r="AE35" s="81">
        <f>IF(AC40&gt;0,PMT('Inputs'!B24/12,'Inputs'!B25*12,'Inputs'!B19,0)*12,0)</f>
        <v>0</v>
      </c>
      <c r="AF35" s="13"/>
      <c r="AG35" s="138">
        <f>IF(AE40&gt;0,PMT('Inputs'!B24/12,'Inputs'!B25*12,'Inputs'!B19,0)*12,0)</f>
        <v>0</v>
      </c>
    </row>
    <row r="36" ht="16.2" customHeight="1">
      <c r="A36" s="24"/>
      <c r="B36" s="13"/>
      <c r="C36" s="134"/>
      <c r="D36" s="132"/>
      <c r="E36" s="134"/>
      <c r="F36" s="132"/>
      <c r="G36" s="134"/>
      <c r="H36" s="132"/>
      <c r="I36" s="134"/>
      <c r="J36" s="132"/>
      <c r="K36" s="134"/>
      <c r="L36" s="132"/>
      <c r="M36" s="86"/>
      <c r="N36" s="132"/>
      <c r="O36" s="134"/>
      <c r="P36" s="13"/>
      <c r="Q36" s="134"/>
      <c r="R36" s="13"/>
      <c r="S36" s="134"/>
      <c r="T36" s="13"/>
      <c r="U36" s="134"/>
      <c r="V36" s="13"/>
      <c r="W36" s="134"/>
      <c r="X36" s="13"/>
      <c r="Y36" s="134"/>
      <c r="Z36" s="13"/>
      <c r="AA36" s="134"/>
      <c r="AB36" s="13"/>
      <c r="AC36" s="134"/>
      <c r="AD36" s="13"/>
      <c r="AE36" s="134"/>
      <c r="AF36" s="13"/>
      <c r="AG36" s="135"/>
    </row>
    <row r="37" ht="18.6" customHeight="1">
      <c r="A37" t="s" s="71">
        <v>83</v>
      </c>
      <c r="B37" s="105"/>
      <c r="C37" s="139">
        <f>C33+C35</f>
        <v>5847.288712433014</v>
      </c>
      <c r="D37" s="132"/>
      <c r="E37" s="139">
        <f>E33+E35</f>
        <v>6704.880712433016</v>
      </c>
      <c r="F37" s="132"/>
      <c r="G37" s="139">
        <f>G33+G35</f>
        <v>7608.149872433012</v>
      </c>
      <c r="H37" s="132"/>
      <c r="I37" s="139">
        <f>I33+I35</f>
        <v>8559.447327233014</v>
      </c>
      <c r="J37" s="132"/>
      <c r="K37" s="139">
        <f>K33+K35</f>
        <v>9561.242787677016</v>
      </c>
      <c r="L37" s="140"/>
      <c r="M37" s="139">
        <f>M33+M35</f>
        <v>10616.130440094337</v>
      </c>
      <c r="N37" s="140"/>
      <c r="O37" s="139">
        <f>O33+O35</f>
        <v>11726.835136235779</v>
      </c>
      <c r="P37" s="13"/>
      <c r="Q37" s="139">
        <f>Q33+Q35</f>
        <v>12896.218887879259</v>
      </c>
      <c r="R37" s="13"/>
      <c r="S37" s="139">
        <f>S33+S35</f>
        <v>14127.287680964866</v>
      </c>
      <c r="T37" s="13"/>
      <c r="U37" s="139">
        <f>U33+U35</f>
        <v>15423.198624837270</v>
      </c>
      <c r="V37" s="13"/>
      <c r="W37" s="139">
        <f>W33+W35</f>
        <v>16787.267452926</v>
      </c>
      <c r="X37" s="13"/>
      <c r="Y37" s="139">
        <f>Y33+Y35</f>
        <v>27477.487679549085</v>
      </c>
      <c r="Z37" s="13"/>
      <c r="AA37" s="139">
        <f>AA33+AA35</f>
        <v>28988.493705383138</v>
      </c>
      <c r="AB37" s="13"/>
      <c r="AC37" s="139">
        <f>AC33+AC35</f>
        <v>30578.637203914652</v>
      </c>
      <c r="AD37" s="13"/>
      <c r="AE37" s="139">
        <f>AE33+AE35</f>
        <v>32251.951057249673</v>
      </c>
      <c r="AF37" s="13"/>
      <c r="AG37" s="141">
        <f>AG33+AG35</f>
        <v>34012.670175453444</v>
      </c>
    </row>
    <row r="38" ht="15" customHeight="1">
      <c r="A38" s="24"/>
      <c r="B38" s="13"/>
      <c r="C38" s="142"/>
      <c r="D38" s="132"/>
      <c r="E38" s="142"/>
      <c r="F38" s="132"/>
      <c r="G38" s="142"/>
      <c r="H38" s="132"/>
      <c r="I38" s="142"/>
      <c r="J38" s="132"/>
      <c r="K38" s="142"/>
      <c r="L38" s="132"/>
      <c r="M38" s="142"/>
      <c r="N38" s="132"/>
      <c r="O38" s="142"/>
      <c r="P38" s="13"/>
      <c r="Q38" s="142"/>
      <c r="R38" s="13"/>
      <c r="S38" s="142"/>
      <c r="T38" s="13"/>
      <c r="U38" s="142"/>
      <c r="V38" s="13"/>
      <c r="W38" s="142"/>
      <c r="X38" s="13"/>
      <c r="Y38" s="142"/>
      <c r="Z38" s="13"/>
      <c r="AA38" s="142"/>
      <c r="AB38" s="13"/>
      <c r="AC38" s="142"/>
      <c r="AD38" s="13"/>
      <c r="AE38" s="142"/>
      <c r="AF38" s="13"/>
      <c r="AG38" s="143"/>
    </row>
    <row r="39" ht="15.6" customHeight="1">
      <c r="A39" t="s" s="50">
        <v>107</v>
      </c>
      <c r="B39" s="13"/>
      <c r="C39" s="81">
        <f>'Inputs'!B15*(1+'Inputs'!B39)</f>
        <v>212000</v>
      </c>
      <c r="D39" s="81"/>
      <c r="E39" s="81">
        <f>C39*(1+'Inputs'!$B$39)</f>
        <v>224720</v>
      </c>
      <c r="F39" s="81"/>
      <c r="G39" s="81">
        <f>E39*(1+'Inputs'!$B$39)</f>
        <v>238203.2</v>
      </c>
      <c r="H39" s="81"/>
      <c r="I39" s="81">
        <f>G39*(1+'Inputs'!$B$39)</f>
        <v>252495.392</v>
      </c>
      <c r="J39" s="81"/>
      <c r="K39" s="81">
        <f>I39*(1+'Inputs'!$B$39)</f>
        <v>267645.1155200001</v>
      </c>
      <c r="L39" s="81"/>
      <c r="M39" s="81">
        <f>K39*(1+'Inputs'!$B$39)</f>
        <v>283703.8224512</v>
      </c>
      <c r="N39" s="81"/>
      <c r="O39" s="81">
        <f>M39*(1+'Inputs'!$B$39)</f>
        <v>300726.0517982721</v>
      </c>
      <c r="P39" s="13"/>
      <c r="Q39" s="81">
        <f>O39*(1+'Inputs'!$B$39)</f>
        <v>318769.6149061684</v>
      </c>
      <c r="R39" s="13"/>
      <c r="S39" s="81">
        <f>Q39*(1+'Inputs'!$B$39)</f>
        <v>337895.7918005385</v>
      </c>
      <c r="T39" s="13"/>
      <c r="U39" s="81">
        <f>S39*(1+'Inputs'!$B$39)</f>
        <v>358169.5393085708</v>
      </c>
      <c r="V39" s="13"/>
      <c r="W39" s="81">
        <f>U39*(1+'Inputs'!$B$39)</f>
        <v>379659.7116670851</v>
      </c>
      <c r="X39" s="13"/>
      <c r="Y39" s="81">
        <f>W39*(1+'Inputs'!$B$39)</f>
        <v>402439.2943671102</v>
      </c>
      <c r="Z39" s="13"/>
      <c r="AA39" s="81">
        <f>Y39*(1+'Inputs'!$B$39)</f>
        <v>426585.6520291369</v>
      </c>
      <c r="AB39" s="13"/>
      <c r="AC39" s="81">
        <f>AA39*(1+'Inputs'!$B$39)</f>
        <v>452180.7911508851</v>
      </c>
      <c r="AD39" s="13"/>
      <c r="AE39" s="81">
        <f>AC39*(1+'Inputs'!$B$39)</f>
        <v>479311.6386199382</v>
      </c>
      <c r="AF39" s="13"/>
      <c r="AG39" s="138">
        <f>AE39*(1+'Inputs'!$B$39)</f>
        <v>508070.3369371346</v>
      </c>
    </row>
    <row r="40" ht="15.6" customHeight="1">
      <c r="A40" t="s" s="50">
        <v>108</v>
      </c>
      <c r="B40" s="13"/>
      <c r="C40" s="144">
        <f>IF(('Inputs'!B19+CUMPRINC('Inputs'!$B$24/12,'Inputs'!B25*12,'Inputs'!$B$19,1,12,0)-C37)&gt;0,'Inputs'!B19+CUMPRINC('Inputs'!$B$24/12,'Inputs'!B25*12,'Inputs'!$B$19,1,12,0)-C37,0)</f>
        <v>141785.9476801922</v>
      </c>
      <c r="D40" s="81"/>
      <c r="E40" s="145">
        <f>IF((C40+CUMPRINC('Inputs'!$B$24/12,'Inputs'!B25*12,'Inputs'!$B$19,13,24,0)-E37)&gt;0,(C40+CUMPRINC('Inputs'!$B$24/12,'Inputs'!B25*12,'Inputs'!$B$19,13,24,0)-E37),0)</f>
        <v>132602.4900892751</v>
      </c>
      <c r="F40" s="81"/>
      <c r="G40" s="144">
        <f>IF((E40+CUMPRINC('Inputs'!$B$24/12,'Inputs'!B25*12,'Inputs'!$B$19,25,36,0)-G37)&gt;0,E40+CUMPRINC('Inputs'!$B$24/12,'Inputs'!B25*12,'Inputs'!$B$19,25,36,0)-G37,0)</f>
        <v>122398.6676606925</v>
      </c>
      <c r="H40" s="81"/>
      <c r="I40" s="145">
        <f>IF((G40+CUMPRINC('Inputs'!$B$24/12,'Inputs'!B25*12,'Inputs'!$B$19,37,48,0)-I37)&gt;0,G40+CUMPRINC('Inputs'!$B$24/12,'Inputs'!B25*12,'Inputs'!$B$19,37,48,0)-I37,0)</f>
        <v>111120.9201357798</v>
      </c>
      <c r="J40" s="81"/>
      <c r="K40" s="144">
        <f>IF((I40+CUMPRINC('Inputs'!$B$24/12,'Inputs'!B25*12,'Inputs'!$B$19,49,60,0)-K37)&gt;0,I40+CUMPRINC('Inputs'!$B$24/12,'Inputs'!B25*12,'Inputs'!$B$19,49,60,0)-K37,0)</f>
        <v>98712.956197856081</v>
      </c>
      <c r="L40" s="81"/>
      <c r="M40" s="145">
        <f>IF((K40+CUMPRINC('Inputs'!$B$24/12,'Inputs'!B25*12,'Inputs'!$B$19,61,72,0)-M37)&gt;0,K40+CUMPRINC('Inputs'!$B$24/12,'Inputs'!B25*12,'Inputs'!$B$19,61,72,0)-M37,0)</f>
        <v>85115.616649886550</v>
      </c>
      <c r="N40" s="81"/>
      <c r="O40" s="144">
        <f>IF((M40+CUMPRINC('Inputs'!$B$24/12,'Inputs'!B25*12,'Inputs'!$B$19,73,84,0)-O37)&gt;0,M40+CUMPRINC('Inputs'!$B$24/12,'Inputs'!B25*12,'Inputs'!$B$19,73,84,0)-O37,0)</f>
        <v>70266.730818903990</v>
      </c>
      <c r="P40" s="13"/>
      <c r="Q40" s="145">
        <f>IF((O40+CUMPRINC('Inputs'!$B$24/12,'Inputs'!B25*12,'Inputs'!$B$19,85,96,0)-Q37)&gt;0,O40+CUMPRINC('Inputs'!$B$24/12,'Inputs'!B25*12,'Inputs'!$B$19,85,96,0)-Q37,0)</f>
        <v>54100.965854964328</v>
      </c>
      <c r="R40" s="13"/>
      <c r="S40" s="144">
        <f>IF((Q40+CUMPRINC('Inputs'!$B$24/12,'Inputs'!B25*12,'Inputs'!$B$19,97,108,0)-S37)&gt;0,Q40+CUMPRINC('Inputs'!$B$24/12,'Inputs'!B25*12,'Inputs'!$B$19,97,108,0)-S37,0)</f>
        <v>36549.668576247248</v>
      </c>
      <c r="T40" s="13"/>
      <c r="U40" s="145">
        <f>IF((S40+CUMPRINC('Inputs'!$B$24/12,'Inputs'!B25*12,'Inputs'!$B$19,109,120,0)-U37)&gt;0,S40+CUMPRINC('Inputs'!$B$24/12,'Inputs'!B25*12,'Inputs'!$B$19,109,120,0)-U37,0)</f>
        <v>17540.699494972250</v>
      </c>
      <c r="V40" s="13"/>
      <c r="W40" s="144">
        <f>IF((U40+CUMPRINC('Inputs'!$B$24/12,'Inputs'!B25*12,'Inputs'!$B$19,121,132,0)-W37)&gt;0,U40+CUMPRINC('Inputs'!$B$24/12,'Inputs'!B25*12,'Inputs'!$B$19,121,132,0)-W37,0)</f>
        <v>0</v>
      </c>
      <c r="X40" s="13"/>
      <c r="Y40" s="145">
        <f>IF((W40+CUMPRINC('Inputs'!$B$24/12,'Inputs'!B25*12,'Inputs'!$B$19,133,144,0)-Y37)&gt;0,W40+CUMPRINC('Inputs'!$B$24/12,'Inputs'!B25*12,'Inputs'!$B$19,133,144,0)-Y37,0)</f>
        <v>0</v>
      </c>
      <c r="Z40" s="13"/>
      <c r="AA40" s="144">
        <f>IF((Y40+CUMPRINC('Inputs'!$B$24/12,'Inputs'!B25*12,'Inputs'!$B$19,145,156,0)-AA37)&gt;0,Y40+CUMPRINC('Inputs'!$B$24/12,'Inputs'!B25*12,'Inputs'!$B$19,145,156,0)-AA37,0)</f>
        <v>0</v>
      </c>
      <c r="AB40" s="13"/>
      <c r="AC40" s="145">
        <f>IF((AA40+CUMPRINC('Inputs'!$B$24/12,'Inputs'!B25*12,'Inputs'!$B$19,158,169,0)-AC37)&gt;0,AA40+CUMPRINC('Inputs'!$B$24/12,'Inputs'!B25*12,'Inputs'!$B$19,158,169,0)-AC37,0)</f>
        <v>0</v>
      </c>
      <c r="AD40" s="13"/>
      <c r="AE40" s="144">
        <f>IF((AC40+CUMPRINC('Inputs'!$B$24/12,'Inputs'!B25*12,'Inputs'!$B$19,169,180,0)-AE37)&gt;0,AC40+CUMPRINC('Inputs'!$B$24/12,'Inputs'!B25*12,'Inputs'!$B$19,169,180,0)-AE37,0)</f>
        <v>0</v>
      </c>
      <c r="AF40" s="13"/>
      <c r="AG40" s="187">
        <f>IF((AE40+CUMPRINC('Inputs'!$B$24/12,'Inputs'!B25*12,'Inputs'!$B$19,169,180,0)-AG37)&gt;0,AE40+CUMPRINC('Inputs'!$B$24/12,'Inputs'!B25*12,'Inputs'!$B$19,169,180,0)-AG37,0)</f>
        <v>0</v>
      </c>
    </row>
    <row r="41" ht="16.2" customHeight="1">
      <c r="A41" t="s" s="50">
        <v>109</v>
      </c>
      <c r="B41" s="13"/>
      <c r="C41" s="147">
        <f>C39-C40</f>
        <v>70214.052319807757</v>
      </c>
      <c r="D41" s="81"/>
      <c r="E41" s="147">
        <f>E39-E40</f>
        <v>92117.509910724912</v>
      </c>
      <c r="F41" s="81"/>
      <c r="G41" s="147">
        <f>G39-G40</f>
        <v>115804.5323393075</v>
      </c>
      <c r="H41" s="81"/>
      <c r="I41" s="147">
        <f>I39-I40</f>
        <v>141374.4718642202</v>
      </c>
      <c r="J41" s="81"/>
      <c r="K41" s="147">
        <f>K39-K40</f>
        <v>168932.159322144</v>
      </c>
      <c r="L41" s="81"/>
      <c r="M41" s="147">
        <f>M39-M40</f>
        <v>198588.2058013135</v>
      </c>
      <c r="N41" s="81"/>
      <c r="O41" s="147">
        <f>O39-O40</f>
        <v>230459.3209793681</v>
      </c>
      <c r="P41" s="13"/>
      <c r="Q41" s="147">
        <f>Q39-Q40</f>
        <v>264668.6490512041</v>
      </c>
      <c r="R41" s="13"/>
      <c r="S41" s="147">
        <f>S39-S40</f>
        <v>301346.1232242913</v>
      </c>
      <c r="T41" s="13"/>
      <c r="U41" s="147">
        <f>U39-U40</f>
        <v>340628.8398135986</v>
      </c>
      <c r="V41" s="13"/>
      <c r="W41" s="147">
        <f>W39-W40</f>
        <v>379659.7116670851</v>
      </c>
      <c r="X41" s="13"/>
      <c r="Y41" s="147">
        <f>Y39-Y40</f>
        <v>402439.2943671102</v>
      </c>
      <c r="Z41" s="13"/>
      <c r="AA41" s="147">
        <f>AA39-AA40</f>
        <v>426585.6520291369</v>
      </c>
      <c r="AB41" s="13"/>
      <c r="AC41" s="147">
        <f>AC39-AC40</f>
        <v>452180.7911508851</v>
      </c>
      <c r="AD41" s="13"/>
      <c r="AE41" s="147">
        <f>AE39-AE40</f>
        <v>479311.6386199382</v>
      </c>
      <c r="AF41" s="13"/>
      <c r="AG41" s="148">
        <f>AG39-AG40</f>
        <v>508070.3369371346</v>
      </c>
    </row>
    <row r="42" ht="18.6" customHeight="1">
      <c r="A42" t="s" s="25">
        <v>110</v>
      </c>
      <c r="B42" s="13"/>
      <c r="C42" s="149">
        <f>IF(C40&gt;0,C41,C41+C37)</f>
        <v>70214.052319807757</v>
      </c>
      <c r="D42" s="81"/>
      <c r="E42" s="149">
        <f>IF(E40&gt;0,E41,E41+E37)</f>
        <v>92117.509910724912</v>
      </c>
      <c r="F42" s="81"/>
      <c r="G42" s="149">
        <f>IF(G40&gt;0,G41,G41+G37)</f>
        <v>115804.5323393075</v>
      </c>
      <c r="H42" s="81"/>
      <c r="I42" s="149">
        <f>IF(I40&gt;0,I41,I41+I37)</f>
        <v>141374.4718642202</v>
      </c>
      <c r="J42" s="81"/>
      <c r="K42" s="149">
        <f>IF(K40&gt;0,K41,K41+K37)</f>
        <v>168932.159322144</v>
      </c>
      <c r="L42" s="140"/>
      <c r="M42" s="149">
        <f>IF(M40&gt;0,M41,M41+M37)</f>
        <v>198588.2058013135</v>
      </c>
      <c r="N42" s="140"/>
      <c r="O42" s="149">
        <f>IF(O40&gt;0,O41,O41+O37)</f>
        <v>230459.3209793681</v>
      </c>
      <c r="P42" s="13"/>
      <c r="Q42" s="149">
        <f>IF(Q40&gt;0,Q41,Q41+Q37)</f>
        <v>264668.6490512041</v>
      </c>
      <c r="R42" s="13"/>
      <c r="S42" s="149">
        <f>IF(S40&gt;0,S41,S41+S37)</f>
        <v>301346.1232242913</v>
      </c>
      <c r="T42" s="13"/>
      <c r="U42" s="149">
        <f>IF(U40&gt;0,U41,U41+U37)</f>
        <v>340628.8398135986</v>
      </c>
      <c r="V42" s="13"/>
      <c r="W42" s="149">
        <f>IF(W40&gt;0,W41,W41+W37)</f>
        <v>396446.9791200112</v>
      </c>
      <c r="X42" s="13"/>
      <c r="Y42" s="149">
        <f>IF(Y40&gt;0,Y41,Y41+Y37)</f>
        <v>429916.7820466593</v>
      </c>
      <c r="Z42" s="13"/>
      <c r="AA42" s="149">
        <f>IF(AA40&gt;0,AA41,AA41+AA37)</f>
        <v>455574.14573452</v>
      </c>
      <c r="AB42" s="13"/>
      <c r="AC42" s="149">
        <f>IF(AC40&gt;0,AC41,AC41+AC37)</f>
        <v>482759.4283547997</v>
      </c>
      <c r="AD42" s="13"/>
      <c r="AE42" s="149">
        <f>IF(AE40&gt;0,AE41,AE41+AE37)</f>
        <v>511563.5896771879</v>
      </c>
      <c r="AF42" s="13"/>
      <c r="AG42" s="150">
        <f>IF(AG40&gt;0,AG41,AG41+AG37)</f>
        <v>542083.007112588</v>
      </c>
    </row>
    <row r="43" ht="16.2" customHeight="1" hidden="1">
      <c r="A43" t="s" s="25">
        <v>111</v>
      </c>
      <c r="B43" s="13"/>
      <c r="C43" s="151">
        <f t="shared" si="431" ref="C43:AG43">$I$7</f>
        <v>52567</v>
      </c>
      <c r="D43" s="81"/>
      <c r="E43" s="151">
        <f t="shared" si="431"/>
        <v>52567</v>
      </c>
      <c r="F43" s="81"/>
      <c r="G43" s="151">
        <f t="shared" si="431"/>
        <v>52567</v>
      </c>
      <c r="H43" s="81"/>
      <c r="I43" s="151">
        <f t="shared" si="431"/>
        <v>52567</v>
      </c>
      <c r="J43" s="81"/>
      <c r="K43" s="151">
        <f t="shared" si="431"/>
        <v>52567</v>
      </c>
      <c r="L43" s="81"/>
      <c r="M43" s="151">
        <f t="shared" si="431"/>
        <v>52567</v>
      </c>
      <c r="N43" s="81"/>
      <c r="O43" s="151">
        <f t="shared" si="431"/>
        <v>52567</v>
      </c>
      <c r="P43" s="13"/>
      <c r="Q43" s="151">
        <f t="shared" si="431"/>
        <v>52567</v>
      </c>
      <c r="R43" s="13"/>
      <c r="S43" s="151">
        <f t="shared" si="431"/>
        <v>52567</v>
      </c>
      <c r="T43" s="13"/>
      <c r="U43" s="151">
        <f t="shared" si="431"/>
        <v>52567</v>
      </c>
      <c r="V43" s="13"/>
      <c r="W43" s="151">
        <f t="shared" si="431"/>
        <v>52567</v>
      </c>
      <c r="X43" s="13"/>
      <c r="Y43" s="151">
        <f t="shared" si="431"/>
        <v>52567</v>
      </c>
      <c r="Z43" s="13"/>
      <c r="AA43" s="151">
        <f t="shared" si="431"/>
        <v>52567</v>
      </c>
      <c r="AB43" s="13"/>
      <c r="AC43" s="151">
        <f t="shared" si="431"/>
        <v>52567</v>
      </c>
      <c r="AD43" s="13"/>
      <c r="AE43" s="151">
        <f t="shared" si="431"/>
        <v>52567</v>
      </c>
      <c r="AF43" s="13"/>
      <c r="AG43" s="152">
        <f t="shared" si="431"/>
        <v>52567</v>
      </c>
    </row>
    <row r="44" ht="16.2" customHeight="1">
      <c r="A44" t="s" s="25">
        <v>112</v>
      </c>
      <c r="B44" s="13"/>
      <c r="C44" s="153">
        <f>IF(C40&gt;0,(C41-C43)/$I$7,(C41-C43+C37)/$I$7)</f>
        <v>0.3357059052220548</v>
      </c>
      <c r="D44" s="81"/>
      <c r="E44" s="153">
        <f>IF(E40&gt;0,(E41-E43)/$I$7,(E41-E43+E37)/$I$7)</f>
        <v>0.7523828620755401</v>
      </c>
      <c r="F44" s="81"/>
      <c r="G44" s="153">
        <f>IF(G40&gt;0,(G41-G43)/$I$7,(G41-G43+G37)/$I$7)</f>
        <v>1.202989182173369</v>
      </c>
      <c r="H44" s="81"/>
      <c r="I44" s="153">
        <f>IF(I40&gt;0,(I41-I43)/$I$7,(I41-I43+I37)/$I$7)</f>
        <v>1.689414877474846</v>
      </c>
      <c r="J44" s="81"/>
      <c r="K44" s="153">
        <f>IF(K40&gt;0,(K41-K43)/$I$7,(K41-K43+K37)/$I$7)</f>
        <v>2.213654180800578</v>
      </c>
      <c r="L44" s="153"/>
      <c r="M44" s="153">
        <f>IF(M40&gt;0,(M41-M43)/$I$7,(M41-M43+M37)/$I$7)</f>
        <v>2.777811284671248</v>
      </c>
      <c r="N44" s="153"/>
      <c r="O44" s="153">
        <f>IF(O40&gt;0,(O41-O43)/$I$7,(O41-O43+O37)/$I$7)</f>
        <v>3.384106397157305</v>
      </c>
      <c r="P44" s="13"/>
      <c r="Q44" s="153">
        <f>IF(Q40&gt;0,(Q41-Q43)/$I$7,(Q41-Q43+Q37)/$I$7)</f>
        <v>4.03488213234927</v>
      </c>
      <c r="R44" s="13"/>
      <c r="S44" s="153">
        <f>IF(S40&gt;0,(S41-S43)/$I$7,(S41-S43+S37)/$I$7)</f>
        <v>4.732610254043246</v>
      </c>
      <c r="T44" s="13"/>
      <c r="U44" s="153">
        <f>IF(U40&gt;0,(U41-U43)/$I$7,(U41-U43+U37)/$I$7)</f>
        <v>5.479898792276496</v>
      </c>
      <c r="V44" s="13"/>
      <c r="W44" s="153">
        <f>IF(W40&gt;0,(W41-W43)/$I$7,(W41-W43+W37)/$I$7)</f>
        <v>6.541746326022241</v>
      </c>
      <c r="X44" s="13"/>
      <c r="Y44" s="153">
        <f>IF(Y40&gt;0,(Y41-Y43)/$I$7,(Y41-Y43+Y37)/$I$7)</f>
        <v>7.178453821725785</v>
      </c>
      <c r="Z44" s="13"/>
      <c r="AA44" s="153">
        <f>IF(AA40&gt;0,(AA41-AA43)/$I$7,(AA41-AA43+AA37)/$I$7)</f>
        <v>7.666542616746629</v>
      </c>
      <c r="AB44" s="13"/>
      <c r="AC44" s="153">
        <f>IF(AC40&gt;0,(AC41-AC43)/$I$7,(AC41-AC43+AC37)/$I$7)</f>
        <v>8.183697535617398</v>
      </c>
      <c r="AD44" s="13"/>
      <c r="AE44" s="153">
        <f>IF(AE40&gt;0,(AE41-AE43)/$I$7,(AE41-AE43+AE37)/$I$7)</f>
        <v>8.731648937112407</v>
      </c>
      <c r="AF44" s="13"/>
      <c r="AG44" s="154">
        <f>IF(AG40&gt;0,(AG41-AG43)/$I$7,(AG41-AG43+AG37)/$I$7)</f>
        <v>9.312230241645672</v>
      </c>
    </row>
    <row r="45" ht="15.6" customHeight="1">
      <c r="A45" s="24"/>
      <c r="B45" s="13"/>
      <c r="C45" s="155"/>
      <c r="D45" s="81"/>
      <c r="E45" s="155"/>
      <c r="F45" s="81"/>
      <c r="G45" s="155"/>
      <c r="H45" s="81"/>
      <c r="I45" s="155"/>
      <c r="J45" s="81"/>
      <c r="K45" s="155"/>
      <c r="L45" s="155"/>
      <c r="M45" s="155"/>
      <c r="N45" s="155"/>
      <c r="O45" s="155"/>
      <c r="P45" s="13"/>
      <c r="Q45" s="155"/>
      <c r="R45" s="13"/>
      <c r="S45" s="155"/>
      <c r="T45" s="13"/>
      <c r="U45" s="155"/>
      <c r="V45" s="13"/>
      <c r="W45" s="155"/>
      <c r="X45" s="13"/>
      <c r="Y45" s="155"/>
      <c r="Z45" s="13"/>
      <c r="AA45" s="155"/>
      <c r="AB45" s="13"/>
      <c r="AC45" s="155"/>
      <c r="AD45" s="13"/>
      <c r="AE45" s="155"/>
      <c r="AF45" s="13"/>
      <c r="AG45" s="156"/>
    </row>
    <row r="46" ht="16.2" customHeight="1">
      <c r="A46" t="s" s="25">
        <v>113</v>
      </c>
      <c r="B46" s="13"/>
      <c r="C46" s="157">
        <f>IF(C40&gt;0,0,C37)</f>
        <v>0</v>
      </c>
      <c r="D46" s="158"/>
      <c r="E46" s="157">
        <f>IF(E40&gt;0,0,E37)</f>
        <v>0</v>
      </c>
      <c r="F46" s="158"/>
      <c r="G46" s="157">
        <f>IF(G40&gt;0,0,G37)</f>
        <v>0</v>
      </c>
      <c r="H46" s="158"/>
      <c r="I46" s="157">
        <f>IF(I40&gt;0,0,I37)</f>
        <v>0</v>
      </c>
      <c r="J46" s="158"/>
      <c r="K46" s="157">
        <f>IF(K40&gt;0,0,K37)</f>
        <v>0</v>
      </c>
      <c r="L46" s="158"/>
      <c r="M46" s="157">
        <f>IF(M40&gt;0,0,M37)</f>
        <v>0</v>
      </c>
      <c r="N46" s="158"/>
      <c r="O46" s="157">
        <f>IF(O40&gt;0,0,O37)</f>
        <v>0</v>
      </c>
      <c r="P46" s="13"/>
      <c r="Q46" s="157">
        <f>IF(Q40&gt;0,0,Q37)</f>
        <v>0</v>
      </c>
      <c r="R46" s="13"/>
      <c r="S46" s="157">
        <f>IF(S40&gt;0,0,S37)</f>
        <v>0</v>
      </c>
      <c r="T46" s="13"/>
      <c r="U46" s="157">
        <f>IF(U40&gt;0,0,U37)</f>
        <v>0</v>
      </c>
      <c r="V46" s="13"/>
      <c r="W46" s="157">
        <f>IF(W40&gt;0,0,W37)</f>
        <v>16787.267452926</v>
      </c>
      <c r="X46" s="13"/>
      <c r="Y46" s="157">
        <f>IF(Y40&gt;0,0,Y37)</f>
        <v>27477.487679549085</v>
      </c>
      <c r="Z46" s="13"/>
      <c r="AA46" s="157">
        <f>IF(AA40&gt;0,0,AA37)</f>
        <v>28988.493705383138</v>
      </c>
      <c r="AB46" s="13"/>
      <c r="AC46" s="157">
        <f>IF(AC40&gt;0,0,AC37)</f>
        <v>30578.637203914652</v>
      </c>
      <c r="AD46" s="13"/>
      <c r="AE46" s="157">
        <f>IF(AE40&gt;0,0,AE37)</f>
        <v>32251.951057249673</v>
      </c>
      <c r="AF46" s="13"/>
      <c r="AG46" s="159">
        <f>IF(AG40&gt;0,0,AG37)</f>
        <v>34012.670175453444</v>
      </c>
    </row>
    <row r="47" ht="16.2" customHeight="1">
      <c r="A47" t="s" s="25">
        <v>114</v>
      </c>
      <c r="B47" s="13"/>
      <c r="C47" s="160">
        <f>C46/$I$7</f>
        <v>0</v>
      </c>
      <c r="D47" s="161"/>
      <c r="E47" s="160">
        <f>E46/$I$7</f>
        <v>0</v>
      </c>
      <c r="F47" s="161"/>
      <c r="G47" s="160">
        <f>G46/$I$7</f>
        <v>0</v>
      </c>
      <c r="H47" s="161"/>
      <c r="I47" s="160">
        <f>I46/$I$7</f>
        <v>0</v>
      </c>
      <c r="J47" s="161"/>
      <c r="K47" s="160">
        <f>K46/$I$7</f>
        <v>0</v>
      </c>
      <c r="L47" s="162"/>
      <c r="M47" s="160">
        <f>M46/$I$7</f>
        <v>0</v>
      </c>
      <c r="N47" s="162"/>
      <c r="O47" s="160">
        <f>O46/$I$7</f>
        <v>0</v>
      </c>
      <c r="P47" s="13"/>
      <c r="Q47" s="160">
        <f>Q46/$I$7</f>
        <v>0</v>
      </c>
      <c r="R47" s="13"/>
      <c r="S47" s="160">
        <f>S46/$I$7</f>
        <v>0</v>
      </c>
      <c r="T47" s="13"/>
      <c r="U47" s="160">
        <f>U46/$I$7</f>
        <v>0</v>
      </c>
      <c r="V47" s="13"/>
      <c r="W47" s="160">
        <f>W46/$I$7</f>
        <v>0.3193499239622958</v>
      </c>
      <c r="X47" s="13"/>
      <c r="Y47" s="160">
        <f>Y46/$I$7</f>
        <v>0.5227136355422429</v>
      </c>
      <c r="Z47" s="13"/>
      <c r="AA47" s="160">
        <f>AA46/$I$7</f>
        <v>0.5514580193920737</v>
      </c>
      <c r="AB47" s="13"/>
      <c r="AC47" s="160">
        <f>AC46/$I$7</f>
        <v>0.5817078624215697</v>
      </c>
      <c r="AD47" s="13"/>
      <c r="AE47" s="160">
        <f>AE46/$I$7</f>
        <v>0.6135398835248288</v>
      </c>
      <c r="AF47" s="13"/>
      <c r="AG47" s="163">
        <f>AG46/$I$7</f>
        <v>0.6470346448428376</v>
      </c>
    </row>
    <row r="48" ht="15.6" customHeight="1">
      <c r="A48" s="24"/>
      <c r="B48" s="13"/>
      <c r="C48" s="162"/>
      <c r="D48" s="161"/>
      <c r="E48" s="162"/>
      <c r="F48" s="161"/>
      <c r="G48" s="162"/>
      <c r="H48" s="161"/>
      <c r="I48" s="162"/>
      <c r="J48" s="161"/>
      <c r="K48" s="162"/>
      <c r="L48" s="162"/>
      <c r="M48" s="162"/>
      <c r="N48" s="162"/>
      <c r="O48" s="162"/>
      <c r="P48" s="13"/>
      <c r="Q48" s="162"/>
      <c r="R48" s="13"/>
      <c r="S48" s="162"/>
      <c r="T48" s="13"/>
      <c r="U48" s="162"/>
      <c r="V48" s="13"/>
      <c r="W48" s="162"/>
      <c r="X48" s="13"/>
      <c r="Y48" s="162"/>
      <c r="Z48" s="13"/>
      <c r="AA48" s="162"/>
      <c r="AB48" s="13"/>
      <c r="AC48" s="162"/>
      <c r="AD48" s="13"/>
      <c r="AE48" s="162"/>
      <c r="AF48" s="13"/>
      <c r="AG48" s="164"/>
    </row>
    <row r="49" ht="16.2" customHeight="1">
      <c r="A49" t="s" s="25">
        <v>115</v>
      </c>
      <c r="B49" s="13"/>
      <c r="C49" s="157">
        <f>C41-C43+C46</f>
        <v>17647.052319807757</v>
      </c>
      <c r="D49" s="161"/>
      <c r="E49" s="157">
        <f>E41-E43+E46</f>
        <v>39550.509910724912</v>
      </c>
      <c r="F49" s="158"/>
      <c r="G49" s="157">
        <f>G41-G43+G46</f>
        <v>63237.532339307480</v>
      </c>
      <c r="H49" s="158"/>
      <c r="I49" s="157">
        <f>I41-I43+I46</f>
        <v>88807.471864220250</v>
      </c>
      <c r="J49" s="158"/>
      <c r="K49" s="157">
        <f>K41-K43+K46</f>
        <v>116365.159322144</v>
      </c>
      <c r="L49" s="158"/>
      <c r="M49" s="157">
        <f>M41-M43+M46</f>
        <v>146021.2058013135</v>
      </c>
      <c r="N49" s="158"/>
      <c r="O49" s="157">
        <f>O41-O43+O46</f>
        <v>177892.3209793681</v>
      </c>
      <c r="P49" s="13"/>
      <c r="Q49" s="157">
        <f>Q41-Q43+Q46</f>
        <v>212101.6490512041</v>
      </c>
      <c r="R49" s="13"/>
      <c r="S49" s="157">
        <f>S41-S43+S46</f>
        <v>248779.1232242913</v>
      </c>
      <c r="T49" s="13"/>
      <c r="U49" s="157">
        <f>U41-U43+U46</f>
        <v>288061.8398135986</v>
      </c>
      <c r="V49" s="13"/>
      <c r="W49" s="157">
        <f>W41-W43+W46</f>
        <v>343879.9791200112</v>
      </c>
      <c r="X49" s="13"/>
      <c r="Y49" s="157">
        <f>Y41-Y43+Y46</f>
        <v>377349.7820466593</v>
      </c>
      <c r="Z49" s="13"/>
      <c r="AA49" s="157">
        <f>AA41-AA43+AA46</f>
        <v>403007.14573452</v>
      </c>
      <c r="AB49" s="13"/>
      <c r="AC49" s="157">
        <f>AC41-AC43+AC46</f>
        <v>430192.4283547997</v>
      </c>
      <c r="AD49" s="13"/>
      <c r="AE49" s="157">
        <f>AE41-AE43+AE46</f>
        <v>458996.5896771879</v>
      </c>
      <c r="AF49" s="13"/>
      <c r="AG49" s="159">
        <f>AG41-AG43+AG46</f>
        <v>489516.007112588</v>
      </c>
    </row>
    <row r="50" ht="16.2" customHeight="1">
      <c r="A50" t="s" s="25">
        <v>116</v>
      </c>
      <c r="B50" s="13"/>
      <c r="C50" s="160">
        <f>C49/$I$7</f>
        <v>0.3357059052220548</v>
      </c>
      <c r="D50" s="161"/>
      <c r="E50" s="160">
        <f>E49/$I$7</f>
        <v>0.7523828620755401</v>
      </c>
      <c r="F50" s="161"/>
      <c r="G50" s="160">
        <f>G49/$I$7</f>
        <v>1.202989182173369</v>
      </c>
      <c r="H50" s="161"/>
      <c r="I50" s="160">
        <f>I49/$I$7</f>
        <v>1.689414877474846</v>
      </c>
      <c r="J50" s="161"/>
      <c r="K50" s="160">
        <f>K49/$I$7</f>
        <v>2.213654180800578</v>
      </c>
      <c r="L50" s="162"/>
      <c r="M50" s="160">
        <f>M49/$I$7</f>
        <v>2.777811284671248</v>
      </c>
      <c r="N50" s="162"/>
      <c r="O50" s="160">
        <f>O49/$I$7</f>
        <v>3.384106397157305</v>
      </c>
      <c r="P50" s="13"/>
      <c r="Q50" s="160">
        <f>Q49/$I$7</f>
        <v>4.03488213234927</v>
      </c>
      <c r="R50" s="13"/>
      <c r="S50" s="160">
        <f>S49/$I$7</f>
        <v>4.732610254043246</v>
      </c>
      <c r="T50" s="13"/>
      <c r="U50" s="160">
        <f>U49/$I$7</f>
        <v>5.479898792276496</v>
      </c>
      <c r="V50" s="13"/>
      <c r="W50" s="160">
        <f>W49/$I$7</f>
        <v>6.541746326022241</v>
      </c>
      <c r="X50" s="13"/>
      <c r="Y50" s="160">
        <f>Y49/$I$7</f>
        <v>7.178453821725785</v>
      </c>
      <c r="Z50" s="13"/>
      <c r="AA50" s="160">
        <f>AA49/$I$7</f>
        <v>7.666542616746629</v>
      </c>
      <c r="AB50" s="13"/>
      <c r="AC50" s="160">
        <f>AC49/$I$7</f>
        <v>8.183697535617398</v>
      </c>
      <c r="AD50" s="13"/>
      <c r="AE50" s="160">
        <f>AE49/$I$7</f>
        <v>8.731648937112407</v>
      </c>
      <c r="AF50" s="13"/>
      <c r="AG50" s="163">
        <f>AG49/$I$7</f>
        <v>9.312230241645672</v>
      </c>
    </row>
    <row r="51" ht="15" customHeight="1">
      <c r="A51" s="24"/>
      <c r="B51" s="13"/>
      <c r="C51" s="165"/>
      <c r="D51" s="132"/>
      <c r="E51" s="165"/>
      <c r="F51" s="132"/>
      <c r="G51" s="165"/>
      <c r="H51" s="132"/>
      <c r="I51" s="165"/>
      <c r="J51" s="132"/>
      <c r="K51" s="165"/>
      <c r="L51" s="165"/>
      <c r="M51" s="165"/>
      <c r="N51" s="165"/>
      <c r="O51" s="165"/>
      <c r="P51" s="13"/>
      <c r="Q51" s="165"/>
      <c r="R51" s="13"/>
      <c r="S51" s="165"/>
      <c r="T51" s="13"/>
      <c r="U51" s="165"/>
      <c r="V51" s="13"/>
      <c r="W51" s="165"/>
      <c r="X51" s="13"/>
      <c r="Y51" s="165"/>
      <c r="Z51" s="13"/>
      <c r="AA51" s="165"/>
      <c r="AB51" s="13"/>
      <c r="AC51" s="165"/>
      <c r="AD51" s="13"/>
      <c r="AE51" s="165"/>
      <c r="AF51" s="13"/>
      <c r="AG51" s="166"/>
    </row>
    <row r="52" ht="15.75" customHeight="1">
      <c r="A52" s="24"/>
      <c r="B52" s="168"/>
      <c r="C52" s="167"/>
      <c r="D52" s="168"/>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68"/>
    </row>
    <row r="53" ht="19.5" customHeight="1">
      <c r="A53" t="s" s="119">
        <f>'Inputs'!A67</f>
        <v>90</v>
      </c>
      <c r="B53" s="120"/>
      <c r="C53" s="120"/>
      <c r="D53" s="120"/>
      <c r="E53" s="120"/>
      <c r="F53" s="120"/>
      <c r="G53" s="120"/>
      <c r="H53" s="120"/>
      <c r="I53" s="120"/>
      <c r="J53" s="120"/>
      <c r="K53" s="120"/>
      <c r="L53" s="120"/>
      <c r="M53" s="13"/>
      <c r="N53" s="13"/>
      <c r="O53" s="13"/>
      <c r="P53" s="13"/>
      <c r="Q53" s="13"/>
      <c r="R53" s="13"/>
      <c r="S53" s="13"/>
      <c r="T53" s="13"/>
      <c r="U53" s="13"/>
      <c r="V53" s="13"/>
      <c r="W53" s="13"/>
      <c r="X53" s="13"/>
      <c r="Y53" s="13"/>
      <c r="Z53" s="13"/>
      <c r="AA53" s="13"/>
      <c r="AB53" s="13"/>
      <c r="AC53" s="13"/>
      <c r="AD53" s="13"/>
      <c r="AE53" s="13"/>
      <c r="AF53" s="13"/>
      <c r="AG53" s="68"/>
    </row>
    <row r="54" ht="15" customHeight="1">
      <c r="A54" s="123"/>
      <c r="B54" s="120"/>
      <c r="C54" s="120"/>
      <c r="D54" s="120"/>
      <c r="E54" s="120"/>
      <c r="F54" s="120"/>
      <c r="G54" s="120"/>
      <c r="H54" s="120"/>
      <c r="I54" s="120"/>
      <c r="J54" s="120"/>
      <c r="K54" s="120"/>
      <c r="L54" s="120"/>
      <c r="M54" s="13"/>
      <c r="N54" s="13"/>
      <c r="O54" s="13"/>
      <c r="P54" s="13"/>
      <c r="Q54" s="13"/>
      <c r="R54" s="13"/>
      <c r="S54" s="13"/>
      <c r="T54" s="13"/>
      <c r="U54" s="13"/>
      <c r="V54" s="13"/>
      <c r="W54" s="13"/>
      <c r="X54" s="13"/>
      <c r="Y54" s="13"/>
      <c r="Z54" s="13"/>
      <c r="AA54" s="13"/>
      <c r="AB54" s="13"/>
      <c r="AC54" s="13"/>
      <c r="AD54" s="13"/>
      <c r="AE54" s="13"/>
      <c r="AF54" s="13"/>
      <c r="AG54" s="68"/>
    </row>
    <row r="55" ht="15" customHeight="1">
      <c r="A55" s="123"/>
      <c r="B55" s="120"/>
      <c r="C55" s="120"/>
      <c r="D55" s="120"/>
      <c r="E55" s="120"/>
      <c r="F55" s="120"/>
      <c r="G55" s="120"/>
      <c r="H55" s="120"/>
      <c r="I55" s="120"/>
      <c r="J55" s="120"/>
      <c r="K55" s="120"/>
      <c r="L55" s="120"/>
      <c r="M55" s="13"/>
      <c r="N55" s="13"/>
      <c r="O55" s="13"/>
      <c r="P55" s="13"/>
      <c r="Q55" s="13"/>
      <c r="R55" s="13"/>
      <c r="S55" s="13"/>
      <c r="T55" s="13"/>
      <c r="U55" s="13"/>
      <c r="V55" s="13"/>
      <c r="W55" s="13"/>
      <c r="X55" s="13"/>
      <c r="Y55" s="13"/>
      <c r="Z55" s="13"/>
      <c r="AA55" s="13"/>
      <c r="AB55" s="13"/>
      <c r="AC55" s="13"/>
      <c r="AD55" s="13"/>
      <c r="AE55" s="13"/>
      <c r="AF55" s="13"/>
      <c r="AG55" s="68"/>
    </row>
    <row r="56" ht="15" customHeight="1">
      <c r="A56" s="188"/>
      <c r="B56" s="189"/>
      <c r="C56" s="189"/>
      <c r="D56" s="189"/>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5"/>
    </row>
  </sheetData>
  <mergeCells count="1">
    <mergeCell ref="A53:K55"/>
  </mergeCells>
  <pageMargins left="0.7" right="0.7" top="0.75" bottom="0.75" header="0.3" footer="0.3"/>
  <pageSetup firstPageNumber="1" fitToHeight="1" fitToWidth="1" scale="67"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N50"/>
  <sheetViews>
    <sheetView workbookViewId="0" showGridLines="0" defaultGridColor="1"/>
  </sheetViews>
  <sheetFormatPr defaultColWidth="9.16667" defaultRowHeight="14.4" customHeight="1" outlineLevelRow="0" outlineLevelCol="0"/>
  <cols>
    <col min="1" max="1" width="16.5" style="191" customWidth="1"/>
    <col min="2" max="2" width="20.5" style="191" customWidth="1"/>
    <col min="3" max="3" width="17.5" style="191" customWidth="1"/>
    <col min="4" max="4" width="8.35156" style="191" customWidth="1"/>
    <col min="5" max="5" width="21.5" style="191" customWidth="1"/>
    <col min="6" max="6" width="8.35156" style="191" customWidth="1"/>
    <col min="7" max="7" width="17.5" style="191" customWidth="1"/>
    <col min="8" max="8" width="8" style="191" customWidth="1"/>
    <col min="9" max="9" width="15.5" style="191" customWidth="1"/>
    <col min="10" max="10" width="8" style="191" customWidth="1"/>
    <col min="11" max="11" width="24.5" style="191" customWidth="1"/>
    <col min="12" max="12" width="9.17188" style="191" customWidth="1"/>
    <col min="13" max="13" width="9.17188" style="191" customWidth="1"/>
    <col min="14" max="14" width="9.17188" style="191" customWidth="1"/>
    <col min="15" max="256" width="9.17188" style="191" customWidth="1"/>
  </cols>
  <sheetData>
    <row r="1" ht="18" customHeight="1">
      <c r="A1" t="s" s="64">
        <v>123</v>
      </c>
      <c r="B1" s="65"/>
      <c r="C1" t="s" s="192">
        <f>'Cash-Flow'!C1</f>
        <v>56</v>
      </c>
      <c r="D1" s="65"/>
      <c r="E1" s="65"/>
      <c r="F1" s="65"/>
      <c r="G1" s="65"/>
      <c r="H1" s="65"/>
      <c r="I1" s="65"/>
      <c r="J1" s="65"/>
      <c r="K1" s="65"/>
      <c r="L1" s="65"/>
      <c r="M1" s="65"/>
      <c r="N1" s="67"/>
    </row>
    <row r="2" ht="15" customHeight="1">
      <c r="A2" s="24"/>
      <c r="B2" s="13"/>
      <c r="C2" s="193"/>
      <c r="D2" s="13"/>
      <c r="E2" t="s" s="194">
        <v>124</v>
      </c>
      <c r="F2" s="16"/>
      <c r="G2" t="s" s="194">
        <v>124</v>
      </c>
      <c r="H2" s="16"/>
      <c r="I2" t="s" s="194">
        <v>124</v>
      </c>
      <c r="J2" s="16"/>
      <c r="K2" t="s" s="194">
        <v>124</v>
      </c>
      <c r="L2" s="13"/>
      <c r="M2" s="13"/>
      <c r="N2" s="68"/>
    </row>
    <row r="3" ht="24" customHeight="1">
      <c r="A3" t="s" s="195">
        <v>125</v>
      </c>
      <c r="B3" s="196"/>
      <c r="C3" t="s" s="197">
        <v>126</v>
      </c>
      <c r="D3" s="198"/>
      <c r="E3" t="s" s="199">
        <v>127</v>
      </c>
      <c r="F3" s="198"/>
      <c r="G3" t="s" s="199">
        <v>128</v>
      </c>
      <c r="H3" s="198"/>
      <c r="I3" t="s" s="199">
        <v>129</v>
      </c>
      <c r="J3" s="198"/>
      <c r="K3" t="s" s="200">
        <v>130</v>
      </c>
      <c r="L3" s="201"/>
      <c r="M3" s="13"/>
      <c r="N3" s="68"/>
    </row>
    <row r="4" ht="19.5" customHeight="1">
      <c r="A4" s="202"/>
      <c r="B4" s="196"/>
      <c r="C4" s="203"/>
      <c r="D4" s="198"/>
      <c r="E4" s="204"/>
      <c r="F4" s="198"/>
      <c r="G4" s="204"/>
      <c r="H4" s="198"/>
      <c r="I4" s="204"/>
      <c r="J4" s="198"/>
      <c r="K4" s="205"/>
      <c r="L4" s="201"/>
      <c r="M4" s="13"/>
      <c r="N4" s="68"/>
    </row>
    <row r="5" ht="8" customHeight="1">
      <c r="A5" s="24"/>
      <c r="B5" s="13"/>
      <c r="C5" s="79"/>
      <c r="D5" s="13"/>
      <c r="E5" s="79"/>
      <c r="F5" s="13"/>
      <c r="G5" s="79"/>
      <c r="H5" s="13"/>
      <c r="I5" s="79"/>
      <c r="J5" s="13"/>
      <c r="K5" s="79"/>
      <c r="L5" s="13"/>
      <c r="M5" s="13"/>
      <c r="N5" s="68"/>
    </row>
    <row r="6" ht="15.6" customHeight="1">
      <c r="A6" t="s" s="69">
        <v>58</v>
      </c>
      <c r="B6" s="13"/>
      <c r="C6" s="13"/>
      <c r="D6" s="13"/>
      <c r="E6" s="13"/>
      <c r="F6" s="13"/>
      <c r="G6" s="13"/>
      <c r="H6" s="13"/>
      <c r="I6" s="13"/>
      <c r="J6" s="13"/>
      <c r="K6" s="13"/>
      <c r="L6" s="13"/>
      <c r="M6" s="13"/>
      <c r="N6" s="68"/>
    </row>
    <row r="7" ht="15.6" customHeight="1">
      <c r="A7" t="s" s="72">
        <v>15</v>
      </c>
      <c r="B7" s="13"/>
      <c r="C7" s="33">
        <f>'Inputs'!B15</f>
        <v>200000</v>
      </c>
      <c r="D7" s="13"/>
      <c r="E7" s="206">
        <f>'Inputs'!B15*(1-'Inputs'!E60)</f>
        <v>190000</v>
      </c>
      <c r="F7" s="13"/>
      <c r="G7" s="33">
        <f>'Inputs'!B15</f>
        <v>200000</v>
      </c>
      <c r="H7" s="13"/>
      <c r="I7" s="33">
        <f>'Inputs'!B15</f>
        <v>200000</v>
      </c>
      <c r="J7" s="13"/>
      <c r="K7" s="33">
        <f>E7</f>
        <v>190000</v>
      </c>
      <c r="L7" s="13"/>
      <c r="M7" s="13"/>
      <c r="N7" s="68"/>
    </row>
    <row r="8" ht="15.6" customHeight="1">
      <c r="A8" t="s" s="72">
        <v>59</v>
      </c>
      <c r="B8" s="13"/>
      <c r="C8" s="33">
        <f>'Inputs'!B19</f>
        <v>150000</v>
      </c>
      <c r="D8" s="13"/>
      <c r="E8" s="206">
        <f>E7-E9</f>
        <v>142500</v>
      </c>
      <c r="F8" s="13"/>
      <c r="G8" s="33">
        <f>'Inputs'!B19</f>
        <v>150000</v>
      </c>
      <c r="H8" s="13"/>
      <c r="I8" s="33">
        <f>'Inputs'!B19</f>
        <v>150000</v>
      </c>
      <c r="J8" s="13"/>
      <c r="K8" s="33">
        <f>E8</f>
        <v>142500</v>
      </c>
      <c r="L8" s="13"/>
      <c r="M8" s="13"/>
      <c r="N8" s="68"/>
    </row>
    <row r="9" ht="15.6" customHeight="1">
      <c r="A9" t="s" s="72">
        <v>60</v>
      </c>
      <c r="B9" s="13"/>
      <c r="C9" s="33">
        <f>'Inputs'!B18</f>
        <v>50000</v>
      </c>
      <c r="D9" s="13"/>
      <c r="E9" s="206">
        <f>E7*'Inputs'!B13</f>
        <v>47500</v>
      </c>
      <c r="F9" s="13"/>
      <c r="G9" s="33">
        <f>'Inputs'!B18</f>
        <v>50000</v>
      </c>
      <c r="H9" s="13"/>
      <c r="I9" s="33">
        <f>'Inputs'!B18</f>
        <v>50000</v>
      </c>
      <c r="J9" s="13"/>
      <c r="K9" s="33">
        <f>E9</f>
        <v>47500</v>
      </c>
      <c r="L9" s="13"/>
      <c r="M9" s="13"/>
      <c r="N9" s="68"/>
    </row>
    <row r="10" ht="15.6" customHeight="1">
      <c r="A10" t="s" s="72">
        <v>131</v>
      </c>
      <c r="B10" s="13"/>
      <c r="C10" s="33">
        <f>'Inputs'!B16</f>
        <v>972</v>
      </c>
      <c r="D10" s="13"/>
      <c r="E10" s="206">
        <f>'Inputs'!B16</f>
        <v>972</v>
      </c>
      <c r="F10" s="13"/>
      <c r="G10" s="33">
        <f>'Inputs'!B16</f>
        <v>972</v>
      </c>
      <c r="H10" s="13"/>
      <c r="I10" s="33">
        <f>'Inputs'!B16</f>
        <v>972</v>
      </c>
      <c r="J10" s="13"/>
      <c r="K10" s="33">
        <f>E10</f>
        <v>972</v>
      </c>
      <c r="L10" s="13"/>
      <c r="M10" s="13"/>
      <c r="N10" s="68"/>
    </row>
    <row r="11" ht="15.6" customHeight="1">
      <c r="A11" t="s" s="72">
        <v>132</v>
      </c>
      <c r="B11" s="13"/>
      <c r="C11" s="33">
        <f>'Inputs'!B17</f>
        <v>1395</v>
      </c>
      <c r="D11" s="13"/>
      <c r="E11" s="207">
        <f>IF(E8&lt;65000,0,IF(E8&lt;100000,E8*0.02+1600,IF(E8&lt;250000,E8*0.015+1600,IF(E8&lt;400000,E8*0.01+1600,E8*0.009+1600))))</f>
        <v>3737.5</v>
      </c>
      <c r="F11" s="13"/>
      <c r="G11" s="33">
        <f>'Inputs'!B17</f>
        <v>1395</v>
      </c>
      <c r="H11" s="13"/>
      <c r="I11" s="33">
        <f>'Inputs'!B17</f>
        <v>1395</v>
      </c>
      <c r="J11" s="13"/>
      <c r="K11" s="33">
        <f>E11</f>
        <v>3737.5</v>
      </c>
      <c r="L11" s="13"/>
      <c r="M11" s="13"/>
      <c r="N11" s="68"/>
    </row>
    <row r="12" ht="16.2" customHeight="1">
      <c r="A12" t="s" s="72">
        <v>62</v>
      </c>
      <c r="B12" s="13"/>
      <c r="C12" s="208">
        <f>'Inputs'!B21</f>
        <v>200</v>
      </c>
      <c r="D12" s="13"/>
      <c r="E12" s="209">
        <f>'Inputs'!B21</f>
        <v>200</v>
      </c>
      <c r="F12" s="13"/>
      <c r="G12" s="208">
        <f>'Inputs'!B21</f>
        <v>200</v>
      </c>
      <c r="H12" s="13"/>
      <c r="I12" s="208">
        <f>'Inputs'!B21</f>
        <v>200</v>
      </c>
      <c r="J12" s="13"/>
      <c r="K12" s="208">
        <f>E12</f>
        <v>200</v>
      </c>
      <c r="L12" s="13"/>
      <c r="M12" s="13"/>
      <c r="N12" s="68"/>
    </row>
    <row r="13" ht="16.2" customHeight="1">
      <c r="A13" t="s" s="69">
        <v>63</v>
      </c>
      <c r="B13" s="13"/>
      <c r="C13" s="210">
        <f>'Inputs'!B22</f>
        <v>52567</v>
      </c>
      <c r="D13" s="13"/>
      <c r="E13" s="210">
        <f>E9+E10+E11+E12</f>
        <v>52409.5</v>
      </c>
      <c r="F13" s="13"/>
      <c r="G13" s="210">
        <f>'Inputs'!B22</f>
        <v>52567</v>
      </c>
      <c r="H13" s="13"/>
      <c r="I13" s="210">
        <f>'Inputs'!B22</f>
        <v>52567</v>
      </c>
      <c r="J13" s="13"/>
      <c r="K13" s="210">
        <f>E13</f>
        <v>52409.5</v>
      </c>
      <c r="L13" s="13"/>
      <c r="M13" s="13"/>
      <c r="N13" s="68"/>
    </row>
    <row r="14" ht="15" customHeight="1">
      <c r="A14" s="24"/>
      <c r="B14" s="13"/>
      <c r="C14" s="79"/>
      <c r="D14" s="13"/>
      <c r="E14" s="79"/>
      <c r="F14" s="13"/>
      <c r="G14" s="79"/>
      <c r="H14" s="13"/>
      <c r="I14" s="79"/>
      <c r="J14" s="13"/>
      <c r="K14" s="79"/>
      <c r="L14" s="13"/>
      <c r="M14" s="13"/>
      <c r="N14" s="68"/>
    </row>
    <row r="15" ht="15.6" customHeight="1">
      <c r="A15" t="s" s="69">
        <v>64</v>
      </c>
      <c r="B15" s="13"/>
      <c r="C15" s="13"/>
      <c r="D15" s="13"/>
      <c r="E15" s="13"/>
      <c r="F15" s="13"/>
      <c r="G15" s="13"/>
      <c r="H15" s="13"/>
      <c r="I15" s="13"/>
      <c r="J15" s="13"/>
      <c r="K15" s="13"/>
      <c r="L15" s="13"/>
      <c r="M15" s="13"/>
      <c r="N15" s="68"/>
    </row>
    <row r="16" ht="15.6" customHeight="1">
      <c r="A16" t="s" s="80">
        <v>65</v>
      </c>
      <c r="B16" s="13"/>
      <c r="C16" s="13"/>
      <c r="D16" s="13"/>
      <c r="E16" s="13"/>
      <c r="F16" s="13"/>
      <c r="G16" s="13"/>
      <c r="H16" s="13"/>
      <c r="I16" s="13"/>
      <c r="J16" s="13"/>
      <c r="K16" s="13"/>
      <c r="L16" s="13"/>
      <c r="M16" s="13"/>
      <c r="N16" s="68"/>
    </row>
    <row r="17" ht="15.6" customHeight="1">
      <c r="A17" t="s" s="72">
        <v>66</v>
      </c>
      <c r="B17" s="13"/>
      <c r="C17" s="33">
        <f>'Inputs'!B33*12</f>
        <v>22752</v>
      </c>
      <c r="D17" s="13"/>
      <c r="E17" s="33">
        <f>C17</f>
        <v>22752</v>
      </c>
      <c r="F17" s="13"/>
      <c r="G17" s="206">
        <f>C17*(1+'Inputs'!E62)</f>
        <v>23889.6</v>
      </c>
      <c r="H17" s="13"/>
      <c r="I17" s="33">
        <f>C17</f>
        <v>22752</v>
      </c>
      <c r="J17" s="13"/>
      <c r="K17" s="206">
        <f>G17</f>
        <v>23889.6</v>
      </c>
      <c r="L17" s="13"/>
      <c r="M17" s="13"/>
      <c r="N17" s="68"/>
    </row>
    <row r="18" ht="16.2" customHeight="1">
      <c r="A18" t="s" s="72">
        <v>68</v>
      </c>
      <c r="B18" s="13"/>
      <c r="C18" s="208">
        <f>-C17*'Inputs'!B35</f>
        <v>-1137.6</v>
      </c>
      <c r="D18" s="13"/>
      <c r="E18" s="208">
        <f>C18</f>
        <v>-1137.6</v>
      </c>
      <c r="F18" s="13"/>
      <c r="G18" s="208">
        <f>-G17*'Inputs'!B35</f>
        <v>-1194.48</v>
      </c>
      <c r="H18" s="13"/>
      <c r="I18" s="208">
        <f>C18</f>
        <v>-1137.6</v>
      </c>
      <c r="J18" s="13"/>
      <c r="K18" s="208">
        <f>G18</f>
        <v>-1194.48</v>
      </c>
      <c r="L18" s="13"/>
      <c r="M18" s="13"/>
      <c r="N18" s="68"/>
    </row>
    <row r="19" ht="15.6" customHeight="1">
      <c r="A19" t="s" s="69">
        <v>69</v>
      </c>
      <c r="B19" s="13"/>
      <c r="C19" s="211">
        <f>SUM(C17:C18)</f>
        <v>21614.4</v>
      </c>
      <c r="D19" s="13"/>
      <c r="E19" s="211">
        <f>C19</f>
        <v>21614.4</v>
      </c>
      <c r="F19" s="13"/>
      <c r="G19" s="211">
        <f>SUM(G17:G18)</f>
        <v>22695.12</v>
      </c>
      <c r="H19" s="13"/>
      <c r="I19" s="211">
        <f>SUM(I17:I18)</f>
        <v>21614.4</v>
      </c>
      <c r="J19" s="13"/>
      <c r="K19" s="211">
        <f>SUM(K17:K18)</f>
        <v>22695.12</v>
      </c>
      <c r="L19" s="13"/>
      <c r="M19" s="13"/>
      <c r="N19" s="68"/>
    </row>
    <row r="20" ht="15.6" customHeight="1">
      <c r="A20" s="90"/>
      <c r="B20" s="13"/>
      <c r="C20" s="33"/>
      <c r="D20" s="13"/>
      <c r="E20" s="33"/>
      <c r="F20" s="13"/>
      <c r="G20" s="206"/>
      <c r="H20" s="13"/>
      <c r="I20" s="13"/>
      <c r="J20" s="13"/>
      <c r="K20" s="13"/>
      <c r="L20" s="13"/>
      <c r="M20" s="13"/>
      <c r="N20" s="68"/>
    </row>
    <row r="21" ht="15.6" customHeight="1">
      <c r="A21" t="s" s="80">
        <v>70</v>
      </c>
      <c r="B21" s="13"/>
      <c r="C21" s="33"/>
      <c r="D21" s="13"/>
      <c r="E21" s="33"/>
      <c r="F21" s="13"/>
      <c r="G21" s="206"/>
      <c r="H21" s="13"/>
      <c r="I21" s="13"/>
      <c r="J21" s="13"/>
      <c r="K21" s="13"/>
      <c r="L21" s="13"/>
      <c r="M21" s="13"/>
      <c r="N21" s="68"/>
    </row>
    <row r="22" ht="15.6" customHeight="1">
      <c r="A22" t="s" s="72">
        <v>37</v>
      </c>
      <c r="B22" s="13"/>
      <c r="C22" s="33">
        <f>'Inputs'!B42</f>
        <v>925</v>
      </c>
      <c r="D22" s="13"/>
      <c r="E22" s="33">
        <f>C22</f>
        <v>925</v>
      </c>
      <c r="F22" s="13"/>
      <c r="G22" s="33">
        <f>E22</f>
        <v>925</v>
      </c>
      <c r="H22" s="33"/>
      <c r="I22" s="33">
        <f>'Inputs'!B42</f>
        <v>925</v>
      </c>
      <c r="J22" s="33"/>
      <c r="K22" s="33">
        <f>I22</f>
        <v>925</v>
      </c>
      <c r="L22" s="13"/>
      <c r="M22" s="13"/>
      <c r="N22" s="68"/>
    </row>
    <row r="23" ht="15.6" customHeight="1">
      <c r="A23" t="s" s="72">
        <v>38</v>
      </c>
      <c r="B23" s="13"/>
      <c r="C23" s="33">
        <f>'Inputs'!B43</f>
        <v>250</v>
      </c>
      <c r="D23" s="13"/>
      <c r="E23" s="33">
        <f>C23</f>
        <v>250</v>
      </c>
      <c r="F23" s="13"/>
      <c r="G23" s="33">
        <f>E23</f>
        <v>250</v>
      </c>
      <c r="H23" s="33"/>
      <c r="I23" s="33">
        <f>'Inputs'!B43*(1-'Inputs'!$E$61)</f>
        <v>237.5</v>
      </c>
      <c r="J23" s="33"/>
      <c r="K23" s="33">
        <f>I23</f>
        <v>237.5</v>
      </c>
      <c r="L23" s="13"/>
      <c r="M23" s="13"/>
      <c r="N23" s="68"/>
    </row>
    <row r="24" ht="15.6" customHeight="1">
      <c r="A24" t="s" s="72">
        <v>39</v>
      </c>
      <c r="B24" s="13"/>
      <c r="C24" s="33">
        <f>'Inputs'!B44</f>
        <v>1800</v>
      </c>
      <c r="D24" s="13"/>
      <c r="E24" s="33">
        <f>C24</f>
        <v>1800</v>
      </c>
      <c r="F24" s="13"/>
      <c r="G24" s="33">
        <f>E24</f>
        <v>1800</v>
      </c>
      <c r="H24" s="33"/>
      <c r="I24" s="33">
        <f>'Inputs'!B44*(1-'Inputs'!$E$61)</f>
        <v>1710</v>
      </c>
      <c r="J24" s="33"/>
      <c r="K24" s="33">
        <f>I24</f>
        <v>1710</v>
      </c>
      <c r="L24" s="13"/>
      <c r="M24" s="13"/>
      <c r="N24" s="68"/>
    </row>
    <row r="25" ht="15.6" customHeight="1">
      <c r="A25" t="s" s="72">
        <v>41</v>
      </c>
      <c r="B25" s="13"/>
      <c r="C25" s="33">
        <f>'Inputs'!B45</f>
        <v>1137.6</v>
      </c>
      <c r="D25" s="13"/>
      <c r="E25" s="33">
        <f>C25</f>
        <v>1137.6</v>
      </c>
      <c r="F25" s="13"/>
      <c r="G25" s="33">
        <f>E25</f>
        <v>1137.6</v>
      </c>
      <c r="H25" s="33"/>
      <c r="I25" s="33">
        <f>'Inputs'!B45*(1-'Inputs'!$E$61)</f>
        <v>1080.72</v>
      </c>
      <c r="J25" s="33"/>
      <c r="K25" s="33">
        <f>I25</f>
        <v>1080.72</v>
      </c>
      <c r="L25" s="13"/>
      <c r="M25" s="13"/>
      <c r="N25" s="68"/>
    </row>
    <row r="26" ht="15.6" customHeight="1">
      <c r="A26" t="s" s="72">
        <v>43</v>
      </c>
      <c r="B26" s="13"/>
      <c r="C26" s="33">
        <f>'Inputs'!B46</f>
        <v>0</v>
      </c>
      <c r="D26" s="13"/>
      <c r="E26" s="33">
        <f>C26</f>
        <v>0</v>
      </c>
      <c r="F26" s="13"/>
      <c r="G26" s="33">
        <f>E26</f>
        <v>0</v>
      </c>
      <c r="H26" s="33"/>
      <c r="I26" s="33">
        <f>'Inputs'!B46*(1-'Inputs'!$E$61)</f>
        <v>0</v>
      </c>
      <c r="J26" s="33"/>
      <c r="K26" s="33">
        <f>I26</f>
        <v>0</v>
      </c>
      <c r="L26" s="13"/>
      <c r="M26" s="13"/>
      <c r="N26" s="68"/>
    </row>
    <row r="27" ht="15.6" customHeight="1">
      <c r="A27" t="s" s="72">
        <v>74</v>
      </c>
      <c r="B27" s="13"/>
      <c r="C27" s="33">
        <f>'Inputs'!B47</f>
        <v>0</v>
      </c>
      <c r="D27" s="13"/>
      <c r="E27" s="33">
        <f>C27</f>
        <v>0</v>
      </c>
      <c r="F27" s="13"/>
      <c r="G27" s="33">
        <f>E27</f>
        <v>0</v>
      </c>
      <c r="H27" s="33"/>
      <c r="I27" s="33">
        <f>'Inputs'!B47*(1-'Inputs'!$E$61)</f>
        <v>0</v>
      </c>
      <c r="J27" s="33"/>
      <c r="K27" s="33">
        <f>I27</f>
        <v>0</v>
      </c>
      <c r="L27" s="13"/>
      <c r="M27" s="13"/>
      <c r="N27" s="68"/>
    </row>
    <row r="28" ht="15.6" customHeight="1">
      <c r="A28" t="s" s="72">
        <v>75</v>
      </c>
      <c r="B28" s="13"/>
      <c r="C28" s="33">
        <f>'Inputs'!B48</f>
        <v>0</v>
      </c>
      <c r="D28" s="13"/>
      <c r="E28" s="33">
        <f>C28</f>
        <v>0</v>
      </c>
      <c r="F28" s="13"/>
      <c r="G28" s="33">
        <f>E28</f>
        <v>0</v>
      </c>
      <c r="H28" s="33"/>
      <c r="I28" s="33">
        <f>'Inputs'!B48*(1-'Inputs'!$E$61)</f>
        <v>0</v>
      </c>
      <c r="J28" s="33"/>
      <c r="K28" s="33">
        <f>I28</f>
        <v>0</v>
      </c>
      <c r="L28" s="13"/>
      <c r="M28" s="13"/>
      <c r="N28" s="68"/>
    </row>
    <row r="29" ht="15.6" customHeight="1">
      <c r="A29" t="s" s="72">
        <v>76</v>
      </c>
      <c r="B29" s="13"/>
      <c r="C29" s="33">
        <f>'Inputs'!B49</f>
        <v>0</v>
      </c>
      <c r="D29" s="13"/>
      <c r="E29" s="33">
        <f>C29</f>
        <v>0</v>
      </c>
      <c r="F29" s="13"/>
      <c r="G29" s="33">
        <f>E29</f>
        <v>0</v>
      </c>
      <c r="H29" s="33"/>
      <c r="I29" s="33">
        <f>'Inputs'!B49*(1-'Inputs'!$E$61)</f>
        <v>0</v>
      </c>
      <c r="J29" s="33"/>
      <c r="K29" s="33">
        <f>I29</f>
        <v>0</v>
      </c>
      <c r="L29" s="13"/>
      <c r="M29" s="13"/>
      <c r="N29" s="68"/>
    </row>
    <row r="30" ht="15.6" customHeight="1">
      <c r="A30" t="s" s="72">
        <v>47</v>
      </c>
      <c r="B30" s="13"/>
      <c r="C30" s="33">
        <f>'Inputs'!B50</f>
        <v>0</v>
      </c>
      <c r="D30" s="13"/>
      <c r="E30" s="33">
        <f>C30</f>
        <v>0</v>
      </c>
      <c r="F30" s="13"/>
      <c r="G30" s="33">
        <f>E30</f>
        <v>0</v>
      </c>
      <c r="H30" s="33"/>
      <c r="I30" s="33">
        <f>'Inputs'!B50*(1-'Inputs'!$E$61)</f>
        <v>0</v>
      </c>
      <c r="J30" s="33"/>
      <c r="K30" s="33">
        <f>I30</f>
        <v>0</v>
      </c>
      <c r="L30" s="13"/>
      <c r="M30" s="13"/>
      <c r="N30" s="68"/>
    </row>
    <row r="31" ht="15.6" customHeight="1">
      <c r="A31" t="s" s="72">
        <f>'Inputs'!A51</f>
        <v>48</v>
      </c>
      <c r="B31" s="13"/>
      <c r="C31" s="33">
        <f>'Inputs'!B51</f>
        <v>2400</v>
      </c>
      <c r="D31" s="13"/>
      <c r="E31" s="33">
        <f>C31</f>
        <v>2400</v>
      </c>
      <c r="F31" s="13"/>
      <c r="G31" s="33">
        <f>E31</f>
        <v>2400</v>
      </c>
      <c r="H31" s="33"/>
      <c r="I31" s="33">
        <f>'Inputs'!B51*(1-'Inputs'!$E$61)</f>
        <v>2280</v>
      </c>
      <c r="J31" s="33"/>
      <c r="K31" s="33">
        <f>I31</f>
        <v>2280</v>
      </c>
      <c r="L31" s="13"/>
      <c r="M31" s="13"/>
      <c r="N31" s="68"/>
    </row>
    <row r="32" ht="15.6" customHeight="1">
      <c r="A32" t="s" s="72">
        <f>'Inputs'!A52</f>
        <v>49</v>
      </c>
      <c r="B32" s="13"/>
      <c r="C32" s="33">
        <f>'Inputs'!B52</f>
        <v>0</v>
      </c>
      <c r="D32" s="13"/>
      <c r="E32" s="33">
        <f>C32</f>
        <v>0</v>
      </c>
      <c r="F32" s="13"/>
      <c r="G32" s="33">
        <f>E32</f>
        <v>0</v>
      </c>
      <c r="H32" s="33"/>
      <c r="I32" s="33">
        <f>'Inputs'!B52*(1-'Inputs'!$E$61)</f>
        <v>0</v>
      </c>
      <c r="J32" s="33"/>
      <c r="K32" s="33">
        <f>I32</f>
        <v>0</v>
      </c>
      <c r="L32" s="13"/>
      <c r="M32" s="13"/>
      <c r="N32" s="68"/>
    </row>
    <row r="33" ht="15.6" customHeight="1">
      <c r="A33" t="s" s="72">
        <f>'Inputs'!A53</f>
        <v>49</v>
      </c>
      <c r="B33" s="13"/>
      <c r="C33" s="33">
        <f>'Inputs'!B53</f>
        <v>0</v>
      </c>
      <c r="D33" s="13"/>
      <c r="E33" s="33">
        <f>C33</f>
        <v>0</v>
      </c>
      <c r="F33" s="13"/>
      <c r="G33" s="33">
        <f>E33</f>
        <v>0</v>
      </c>
      <c r="H33" s="33"/>
      <c r="I33" s="33">
        <f>'Inputs'!B53*(1-'Inputs'!$E$61)</f>
        <v>0</v>
      </c>
      <c r="J33" s="33"/>
      <c r="K33" s="33">
        <f>I33</f>
        <v>0</v>
      </c>
      <c r="L33" s="13"/>
      <c r="M33" s="13"/>
      <c r="N33" s="68"/>
    </row>
    <row r="34" ht="15.6" customHeight="1">
      <c r="A34" t="s" s="72">
        <f>'Inputs'!A54</f>
        <v>49</v>
      </c>
      <c r="B34" s="13"/>
      <c r="C34" s="33">
        <f>'Inputs'!B54</f>
        <v>0</v>
      </c>
      <c r="D34" s="13"/>
      <c r="E34" s="33">
        <f>C34</f>
        <v>0</v>
      </c>
      <c r="F34" s="13"/>
      <c r="G34" s="33">
        <f>E34</f>
        <v>0</v>
      </c>
      <c r="H34" s="33"/>
      <c r="I34" s="33">
        <f>'Inputs'!B54*(1-'Inputs'!$E$61)</f>
        <v>0</v>
      </c>
      <c r="J34" s="33"/>
      <c r="K34" s="33">
        <f>I34</f>
        <v>0</v>
      </c>
      <c r="L34" s="13"/>
      <c r="M34" s="13"/>
      <c r="N34" s="68"/>
    </row>
    <row r="35" ht="15.6" customHeight="1">
      <c r="A35" t="s" s="72">
        <f>'Inputs'!A55</f>
        <v>49</v>
      </c>
      <c r="B35" s="13"/>
      <c r="C35" s="33">
        <f>'Inputs'!B55</f>
        <v>0</v>
      </c>
      <c r="D35" s="13"/>
      <c r="E35" s="33">
        <f>C35</f>
        <v>0</v>
      </c>
      <c r="F35" s="13"/>
      <c r="G35" s="33">
        <f>E35</f>
        <v>0</v>
      </c>
      <c r="H35" s="33"/>
      <c r="I35" s="33">
        <f>'Inputs'!B55*(1-'Inputs'!$E$61)</f>
        <v>0</v>
      </c>
      <c r="J35" s="33"/>
      <c r="K35" s="33">
        <f>I35</f>
        <v>0</v>
      </c>
      <c r="L35" s="13"/>
      <c r="M35" s="13"/>
      <c r="N35" s="68"/>
    </row>
    <row r="36" ht="16.2" customHeight="1">
      <c r="A36" t="s" s="72">
        <f>'Inputs'!A56</f>
        <v>49</v>
      </c>
      <c r="B36" s="13"/>
      <c r="C36" s="208">
        <f>'Inputs'!B56</f>
        <v>0</v>
      </c>
      <c r="D36" s="13"/>
      <c r="E36" s="208">
        <f>C36</f>
        <v>0</v>
      </c>
      <c r="F36" s="13"/>
      <c r="G36" s="208">
        <f>E36</f>
        <v>0</v>
      </c>
      <c r="H36" s="33"/>
      <c r="I36" s="208">
        <f>'Inputs'!B56*(1-'Inputs'!$E$61)</f>
        <v>0</v>
      </c>
      <c r="J36" s="33"/>
      <c r="K36" s="208">
        <f>I36</f>
        <v>0</v>
      </c>
      <c r="L36" s="13"/>
      <c r="M36" s="13"/>
      <c r="N36" s="68"/>
    </row>
    <row r="37" ht="15.6" customHeight="1">
      <c r="A37" t="s" s="69">
        <v>77</v>
      </c>
      <c r="B37" s="13"/>
      <c r="C37" s="211">
        <f>'Cash-Flow'!C37</f>
        <v>6512.6</v>
      </c>
      <c r="D37" s="13"/>
      <c r="E37" s="211">
        <f>C37</f>
        <v>6512.6</v>
      </c>
      <c r="F37" s="13"/>
      <c r="G37" s="212">
        <f>E37</f>
        <v>6512.6</v>
      </c>
      <c r="H37" s="13"/>
      <c r="I37" s="212">
        <f>SUM(I22:I36)</f>
        <v>6233.22</v>
      </c>
      <c r="J37" s="13"/>
      <c r="K37" s="212">
        <f>SUM(K22:K36)</f>
        <v>6233.22</v>
      </c>
      <c r="L37" s="13"/>
      <c r="M37" s="13"/>
      <c r="N37" s="68"/>
    </row>
    <row r="38" ht="15.6" customHeight="1">
      <c r="A38" s="90"/>
      <c r="B38" s="13"/>
      <c r="C38" s="33"/>
      <c r="D38" s="13"/>
      <c r="E38" s="33"/>
      <c r="F38" s="13"/>
      <c r="G38" s="206"/>
      <c r="H38" s="13"/>
      <c r="I38" s="13"/>
      <c r="J38" s="13"/>
      <c r="K38" s="13"/>
      <c r="L38" s="13"/>
      <c r="M38" s="13"/>
      <c r="N38" s="68"/>
    </row>
    <row r="39" ht="15.6" customHeight="1">
      <c r="A39" t="s" s="69">
        <v>78</v>
      </c>
      <c r="B39" s="13"/>
      <c r="C39" s="213">
        <f>'Cash-Flow'!C39</f>
        <v>15101.8</v>
      </c>
      <c r="D39" s="13"/>
      <c r="E39" s="213">
        <f>C39</f>
        <v>15101.8</v>
      </c>
      <c r="F39" s="13"/>
      <c r="G39" s="213">
        <f>G19-G37</f>
        <v>16182.52</v>
      </c>
      <c r="H39" s="13"/>
      <c r="I39" s="213">
        <f>I19-I37</f>
        <v>15381.18</v>
      </c>
      <c r="J39" s="13"/>
      <c r="K39" s="213">
        <f>K19-K37</f>
        <v>16461.9</v>
      </c>
      <c r="L39" s="13"/>
      <c r="M39" s="13"/>
      <c r="N39" s="68"/>
    </row>
    <row r="40" ht="15" customHeight="1">
      <c r="A40" s="24"/>
      <c r="B40" s="13"/>
      <c r="C40" s="33"/>
      <c r="D40" s="13"/>
      <c r="E40" s="33"/>
      <c r="F40" s="13"/>
      <c r="G40" s="206"/>
      <c r="H40" s="13"/>
      <c r="I40" s="13"/>
      <c r="J40" s="13"/>
      <c r="K40" s="13"/>
      <c r="L40" s="13"/>
      <c r="M40" s="13"/>
      <c r="N40" s="68"/>
    </row>
    <row r="41" ht="15.6" customHeight="1">
      <c r="A41" t="s" s="72">
        <v>79</v>
      </c>
      <c r="B41" s="13"/>
      <c r="C41" s="33">
        <f>'Cash-Flow'!C41</f>
        <v>-9254.511287566987</v>
      </c>
      <c r="D41" s="13"/>
      <c r="E41" s="33">
        <f>PMT('Inputs'!B24/12,'Inputs'!B25*12,E8,0)*12</f>
        <v>-8791.785723188637</v>
      </c>
      <c r="F41" s="13"/>
      <c r="G41" s="33">
        <f>C41</f>
        <v>-9254.511287566987</v>
      </c>
      <c r="H41" s="13"/>
      <c r="I41" s="33">
        <f>G41</f>
        <v>-9254.511287566987</v>
      </c>
      <c r="J41" s="13"/>
      <c r="K41" s="33">
        <f>E41</f>
        <v>-8791.785723188637</v>
      </c>
      <c r="L41" s="13"/>
      <c r="M41" s="13"/>
      <c r="N41" s="68"/>
    </row>
    <row r="42" ht="15" customHeight="1">
      <c r="A42" s="24"/>
      <c r="B42" s="13"/>
      <c r="C42" s="208"/>
      <c r="D42" s="13"/>
      <c r="E42" s="208"/>
      <c r="F42" s="13"/>
      <c r="G42" s="209"/>
      <c r="H42" s="13"/>
      <c r="I42" s="103"/>
      <c r="J42" s="13"/>
      <c r="K42" s="103"/>
      <c r="L42" s="13"/>
      <c r="M42" s="13"/>
      <c r="N42" s="68"/>
    </row>
    <row r="43" ht="16.2" customHeight="1">
      <c r="A43" t="s" s="69">
        <v>83</v>
      </c>
      <c r="B43" s="73"/>
      <c r="C43" s="214">
        <f>'Cash-Flow'!C43</f>
        <v>5847.288712433014</v>
      </c>
      <c r="D43" s="73"/>
      <c r="E43" s="214">
        <f>E39+E41</f>
        <v>6310.014276811364</v>
      </c>
      <c r="F43" s="73"/>
      <c r="G43" s="214">
        <f>G39+G41</f>
        <v>6928.008712433015</v>
      </c>
      <c r="H43" s="73"/>
      <c r="I43" s="214">
        <f>I39+I41</f>
        <v>6126.668712433013</v>
      </c>
      <c r="J43" s="73"/>
      <c r="K43" s="214">
        <f>K39+K41</f>
        <v>7670.114276811364</v>
      </c>
      <c r="L43" s="13"/>
      <c r="M43" s="13"/>
      <c r="N43" s="68"/>
    </row>
    <row r="44" ht="15" customHeight="1">
      <c r="A44" s="24"/>
      <c r="B44" s="13"/>
      <c r="C44" s="79"/>
      <c r="D44" s="13"/>
      <c r="E44" s="79"/>
      <c r="F44" s="13"/>
      <c r="G44" s="215"/>
      <c r="H44" s="13"/>
      <c r="I44" s="79"/>
      <c r="J44" s="13"/>
      <c r="K44" s="79"/>
      <c r="L44" s="13"/>
      <c r="M44" s="13"/>
      <c r="N44" s="68"/>
    </row>
    <row r="45" ht="16.2" customHeight="1">
      <c r="A45" t="s" s="216">
        <v>84</v>
      </c>
      <c r="B45" s="73"/>
      <c r="C45" s="217">
        <f>'Cash-Flow'!C45</f>
        <v>0.1112349708454546</v>
      </c>
      <c r="D45" s="73"/>
      <c r="E45" s="217">
        <f>E43/E13</f>
        <v>0.1203982918518849</v>
      </c>
      <c r="F45" s="73"/>
      <c r="G45" s="217">
        <f>G43/G13</f>
        <v>0.1317938766228435</v>
      </c>
      <c r="H45" s="73"/>
      <c r="I45" s="217">
        <f>I43/I13</f>
        <v>0.1165497120328916</v>
      </c>
      <c r="J45" s="73"/>
      <c r="K45" s="217">
        <f>K43/K13</f>
        <v>0.1463496937923728</v>
      </c>
      <c r="L45" s="13"/>
      <c r="M45" s="13"/>
      <c r="N45" s="68"/>
    </row>
    <row r="46" ht="16.2" customHeight="1">
      <c r="A46" s="90"/>
      <c r="B46" s="73"/>
      <c r="C46" s="87"/>
      <c r="D46" s="73"/>
      <c r="E46" s="87"/>
      <c r="F46" s="73"/>
      <c r="G46" s="218"/>
      <c r="H46" s="73"/>
      <c r="I46" s="87"/>
      <c r="J46" s="73"/>
      <c r="K46" s="87"/>
      <c r="L46" s="13"/>
      <c r="M46" s="13"/>
      <c r="N46" s="68"/>
    </row>
    <row r="47" ht="16.2" customHeight="1">
      <c r="A47" t="s" s="69">
        <v>86</v>
      </c>
      <c r="B47" s="73"/>
      <c r="C47" s="219">
        <f>'Cash-Flow'!C47</f>
        <v>0.07543356643356644</v>
      </c>
      <c r="D47" s="73"/>
      <c r="E47" s="219">
        <f>E39/E7</f>
        <v>0.07948315789473685</v>
      </c>
      <c r="F47" s="73"/>
      <c r="G47" s="219">
        <f>G39/G7</f>
        <v>0.08091260000000002</v>
      </c>
      <c r="H47" s="73"/>
      <c r="I47" s="219">
        <f>I39/I7</f>
        <v>0.0769059</v>
      </c>
      <c r="J47" s="73"/>
      <c r="K47" s="219">
        <f>K39/K7</f>
        <v>0.08664157894736843</v>
      </c>
      <c r="L47" s="13"/>
      <c r="M47" s="13"/>
      <c r="N47" s="68"/>
    </row>
    <row r="48" ht="15" customHeight="1">
      <c r="A48" s="24"/>
      <c r="B48" s="13"/>
      <c r="C48" s="79"/>
      <c r="D48" s="13"/>
      <c r="E48" s="79"/>
      <c r="F48" s="13"/>
      <c r="G48" s="79"/>
      <c r="H48" s="13"/>
      <c r="I48" s="79"/>
      <c r="J48" s="13"/>
      <c r="K48" s="79"/>
      <c r="L48" s="13"/>
      <c r="M48" s="13"/>
      <c r="N48" s="68"/>
    </row>
    <row r="49" ht="20.25" customHeight="1">
      <c r="A49" t="s" s="119">
        <f>'Inputs'!A67</f>
        <v>90</v>
      </c>
      <c r="B49" s="120"/>
      <c r="C49" s="120"/>
      <c r="D49" s="120"/>
      <c r="E49" s="120"/>
      <c r="F49" s="120"/>
      <c r="G49" s="120"/>
      <c r="H49" s="120"/>
      <c r="I49" s="120"/>
      <c r="J49" s="120"/>
      <c r="K49" s="120"/>
      <c r="L49" s="120"/>
      <c r="M49" s="120"/>
      <c r="N49" s="124"/>
    </row>
    <row r="50" ht="16.5" customHeight="1">
      <c r="A50" s="125"/>
      <c r="B50" s="126"/>
      <c r="C50" s="126"/>
      <c r="D50" s="126"/>
      <c r="E50" s="126"/>
      <c r="F50" s="126"/>
      <c r="G50" s="126"/>
      <c r="H50" s="126"/>
      <c r="I50" s="126"/>
      <c r="J50" s="126"/>
      <c r="K50" s="126"/>
      <c r="L50" s="126"/>
      <c r="M50" s="126"/>
      <c r="N50" s="127"/>
    </row>
  </sheetData>
  <mergeCells count="7">
    <mergeCell ref="K3:K4"/>
    <mergeCell ref="I3:I4"/>
    <mergeCell ref="A49:N50"/>
    <mergeCell ref="G3:G4"/>
    <mergeCell ref="C3:C4"/>
    <mergeCell ref="A3:A4"/>
    <mergeCell ref="E3:E4"/>
  </mergeCells>
  <pageMargins left="0.7" right="0.7" top="0.75" bottom="0.75" header="0.3" footer="0.3"/>
  <pageSetup firstPageNumber="1" fitToHeight="1" fitToWidth="1" scale="63"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