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24"/>
  <workbookPr codeName="ThisWorkbook"/>
  <mc:AlternateContent xmlns:mc="http://schemas.openxmlformats.org/markup-compatibility/2006">
    <mc:Choice Requires="x15">
      <x15ac:absPath xmlns:x15ac="http://schemas.microsoft.com/office/spreadsheetml/2010/11/ac" url="/Users/amynakos/Dropbox/March 14 2018 Webinar Materials Amy Nakos/"/>
    </mc:Choice>
  </mc:AlternateContent>
  <bookViews>
    <workbookView xWindow="28800" yWindow="0" windowWidth="38400" windowHeight="21600" tabRatio="655"/>
  </bookViews>
  <sheets>
    <sheet name="APOD" sheetId="1" r:id="rId1"/>
    <sheet name="Sheet1" sheetId="6" r:id="rId2"/>
    <sheet name="CashFlows" sheetId="2" r:id="rId3"/>
    <sheet name="Sales" sheetId="3" r:id="rId4"/>
    <sheet name="IRR~NPV" sheetId="4" r:id="rId5"/>
    <sheet name="Assumptions" sheetId="5" r:id="rId6"/>
    <sheet name="Appreciation " sheetId="7" r:id="rId7"/>
  </sheets>
  <externalReferences>
    <externalReference r:id="rId8"/>
  </externalReferences>
  <definedNames>
    <definedName name="Acquisition_Costs" localSheetId="4">CashFlows!$E$4</definedName>
    <definedName name="Acquisition_Costs">APOD!$M$4</definedName>
    <definedName name="Adjusted_Basis">APOD!$E$14</definedName>
    <definedName name="ADS_Mtg_1">CashFlows!$C$18</definedName>
    <definedName name="ADS_Mtg_2">CashFlows!$D$18</definedName>
    <definedName name="Amort_Period_Mtg_1">CashFlows!$C$14</definedName>
    <definedName name="Amort_Period_Mtg_2">CashFlows!$D$14</definedName>
    <definedName name="Amount_Mtg_1">CashFlows!$C$12</definedName>
    <definedName name="Amount_Mtg_2">CashFlows!$D$12</definedName>
    <definedName name="Bal_EOY1_Mtg_1">Sales!$B$5</definedName>
    <definedName name="Bal_EOY1_Mtg_2">Sales!$B$6</definedName>
    <definedName name="BAL_EOY10_MTG_1">Sales!$F$10</definedName>
    <definedName name="BAL_EOY10_MTG_2">Sales!$F$11</definedName>
    <definedName name="Bal_EOY2_Mtg_1">Sales!$C$5</definedName>
    <definedName name="Bal_EOY2_Mtg_2">Sales!$C$6</definedName>
    <definedName name="Bal_EOY3_Mtg_1">Sales!$D$5</definedName>
    <definedName name="Bal_EOY3_Mtg_2">Sales!$D$6</definedName>
    <definedName name="Bal_EOY4_Mtg_1">Sales!$E$5</definedName>
    <definedName name="Bal_EOY4_Mtg_2">Sales!$E$6</definedName>
    <definedName name="Bal_EOY5_Mtg_1">Sales!$F$5</definedName>
    <definedName name="Bal_EOY5_Mtg_2">Sales!$F$6</definedName>
    <definedName name="BAL_EOY6_MTG_1">Sales!$B$10</definedName>
    <definedName name="BAL_EOY6_MTG_2">Sales!$B$11</definedName>
    <definedName name="BAL_EOY6_MTG2">Sales!$B$11</definedName>
    <definedName name="BAL_EOY7_MTG_1">Sales!$C$10</definedName>
    <definedName name="BAL_EOY7_MTG_2">Sales!$C$11</definedName>
    <definedName name="BAL_EOY8_MTG_1">Sales!$D$10</definedName>
    <definedName name="BAL_EOY8_MTG_2">Sales!$D$11</definedName>
    <definedName name="BAL_EOY9_MTG_1">Sales!$E$10</definedName>
    <definedName name="BAL_EOY9_MTG_2">Sales!$E$11</definedName>
    <definedName name="Cap_rate_used_in_Sale_1">Assumptions!$B$13</definedName>
    <definedName name="Cap_rate_used_in_Sale_2">Assumptions!$D$13</definedName>
    <definedName name="Cap_rate_used_in_Sale_3">Assumptions!$F$13</definedName>
    <definedName name="Capital_Gain_Max_Tax_Rate">Assumptions!$B$2</definedName>
    <definedName name="CFAT_1" localSheetId="4">CashFlows!$D$50</definedName>
    <definedName name="CFAT_1">CashFlows!$D$50</definedName>
    <definedName name="CFAT_10">CashFlows!$M$50</definedName>
    <definedName name="CFAT_2" localSheetId="4">CashFlows!$E$50</definedName>
    <definedName name="CFAT_2">CashFlows!$E$50</definedName>
    <definedName name="CFAT_3" localSheetId="4">CashFlows!$F$50</definedName>
    <definedName name="CFAT_3">CashFlows!$F$50</definedName>
    <definedName name="CFAT_4" localSheetId="4">CashFlows!$G$50</definedName>
    <definedName name="CFAT_4">CashFlows!$G$50</definedName>
    <definedName name="CFAT_5" localSheetId="4">CashFlows!$H$50</definedName>
    <definedName name="CFAT_5">CashFlows!$H$50</definedName>
    <definedName name="CFAT_6">CashFlows!$I$50</definedName>
    <definedName name="CFAT_7">CashFlows!$J$50</definedName>
    <definedName name="CFAT_8">CashFlows!$K$50</definedName>
    <definedName name="CFAT_9">CashFlows!$L$50</definedName>
    <definedName name="CFBT_1" localSheetId="4">CashFlows!$D$48</definedName>
    <definedName name="CFBT_1">CashFlows!$D$48</definedName>
    <definedName name="CFBT_10">CashFlows!$M$48</definedName>
    <definedName name="CFBT_2" localSheetId="4">CashFlows!$E$48</definedName>
    <definedName name="CFBT_2">CashFlows!$E$48</definedName>
    <definedName name="CFBT_3" localSheetId="4">CashFlows!$F$48</definedName>
    <definedName name="CFBT_3">CashFlows!$F$48</definedName>
    <definedName name="CFBT_4" localSheetId="4">CashFlows!$G$48</definedName>
    <definedName name="CFBT_4">CashFlows!$G$48</definedName>
    <definedName name="CFBT_5" localSheetId="4">CashFlows!$H$48</definedName>
    <definedName name="CFBT_5">CashFlows!$H$48</definedName>
    <definedName name="CFBT_6">CashFlows!$I$48</definedName>
    <definedName name="CFBT_7">CashFlows!$J$48</definedName>
    <definedName name="CFBT_8">CashFlows!$K$48</definedName>
    <definedName name="CFBT_9">CashFlows!$L$48</definedName>
    <definedName name="CFBT_APOD">APOD!$K$53</definedName>
    <definedName name="Cost_recovery_10_Years">CashFlows!$D$35:$M$35</definedName>
    <definedName name="Cost_recovery_5_Years">CashFlows!$D$35:$H$35</definedName>
    <definedName name="Date">APOD!#REF!</definedName>
    <definedName name="Date_of_Sale">CashFlows!$F$16</definedName>
    <definedName name="Down_Payment">APOD!#REF!</definedName>
    <definedName name="Equity" localSheetId="4">APOD!#REF!</definedName>
    <definedName name="ERI_APOD">APOD!$K$20</definedName>
    <definedName name="Expenses_of_Sale">Assumptions!$B$14</definedName>
    <definedName name="ExpEscal_10">Assumptions!$L$10</definedName>
    <definedName name="ExpEscal_11">Assumptions!$M$10</definedName>
    <definedName name="ExpEscal_2">Assumptions!$D$10</definedName>
    <definedName name="ExpEscal_3">Assumptions!$E$10</definedName>
    <definedName name="ExpEscal_4">Assumptions!$F$10</definedName>
    <definedName name="ExpEscal_5">Assumptions!$G$10</definedName>
    <definedName name="ExpEscal_6">Assumptions!$H$10</definedName>
    <definedName name="ExpEscal_7">Assumptions!$I$10</definedName>
    <definedName name="ExpEscal_8">Assumptions!$J$10</definedName>
    <definedName name="ExpEscal_9">Assumptions!$K$10</definedName>
    <definedName name="file">#REF!</definedName>
    <definedName name="FundedReserves">CashFlows!$D$47:$M$47</definedName>
    <definedName name="GOI">APOD!$K$22</definedName>
    <definedName name="GOI_APOD">APOD!$K$22</definedName>
    <definedName name="Highlighting_Flag">Assumptions!$B$57</definedName>
    <definedName name="highpoint">APOD!$X$27</definedName>
    <definedName name="highpointcf">CashFlows!$J$17</definedName>
    <definedName name="HighpointSales">Sales!$H$29</definedName>
    <definedName name="In_Service_date">CashFlows!$F$15</definedName>
    <definedName name="In_Service_date_personal">CashFlows!$G$15</definedName>
    <definedName name="IncEscal_10">Assumptions!$L$8</definedName>
    <definedName name="IncEscal_11">Assumptions!$M$8</definedName>
    <definedName name="IncEscal_2">Assumptions!$D$8</definedName>
    <definedName name="IncEscal_3">Assumptions!$E$8</definedName>
    <definedName name="IncEscal_4">Assumptions!$F$8</definedName>
    <definedName name="IncEscal_5">Assumptions!$G$8</definedName>
    <definedName name="IncEscal_6">Assumptions!$H$8</definedName>
    <definedName name="IncEscal_7">Assumptions!$I$8</definedName>
    <definedName name="IncEscal_8">Assumptions!$J$8</definedName>
    <definedName name="IncEscal_9">Assumptions!$K$8</definedName>
    <definedName name="Initial_Investment">APOD!$M$7</definedName>
    <definedName name="Leasing_Commissions">APOD!$K$51</definedName>
    <definedName name="Loan_Points" localSheetId="4">CashFlows!$E$5</definedName>
    <definedName name="Loan_Points">APOD!$M$5</definedName>
    <definedName name="Loan_Term_Mtg_1">CashFlows!$C$15</definedName>
    <definedName name="Loan_Term_Mtg_2">CashFlows!$D$15</definedName>
    <definedName name="LoanPointsAmortized">CashFlows!$D$37:$M$37</definedName>
    <definedName name="Location">APOD!$C$2</definedName>
    <definedName name="Month_Placed_in_Svc">Assumptions!$B$4</definedName>
    <definedName name="Mortgage_2">CashFlows!$D$11</definedName>
    <definedName name="Name">APOD!$C$1</definedName>
    <definedName name="NOI_APOD">APOD!$K$48</definedName>
    <definedName name="NOI_Yr_1">CashFlows!$D$31</definedName>
    <definedName name="NOI_Yr_11">CashFlows!$N$31</definedName>
    <definedName name="NOI_Yr_2">CashFlows!$E$31</definedName>
    <definedName name="NOI_Yr_3">CashFlows!$F$31</definedName>
    <definedName name="NOI_Yr_4">CashFlows!$G$31</definedName>
    <definedName name="NOI_Yr_5">CashFlows!$H$31</definedName>
    <definedName name="Noi_Yr_6">CashFlows!$I$31</definedName>
    <definedName name="OP_EXP_APOD">APOD!$K$47</definedName>
    <definedName name="Ordinary_Income_Tax_Bracket">Assumptions!$B$1</definedName>
    <definedName name="OTHER_APOD">APOD!$K$21</definedName>
    <definedName name="Other_Inc_with_vac">APOD!#REF!</definedName>
    <definedName name="OtherIncEsc">Assumptions!$D$9:$M$9</definedName>
    <definedName name="PartCash">Assumptions!$D$18</definedName>
    <definedName name="ParticipationPmtOps">APOD!$K$50</definedName>
    <definedName name="PartSale">Assumptions!$D$19</definedName>
    <definedName name="Per_Pmt_Mtg_1">CashFlows!$C$17</definedName>
    <definedName name="Per_Pmt_Mtg_2">CashFlows!$D$17</definedName>
    <definedName name="Percent_Improvements">APOD!$E$10</definedName>
    <definedName name="Percent_Land">APOD!$E$9</definedName>
    <definedName name="Pmts_Year_Mtg_1">CashFlows!$C$16</definedName>
    <definedName name="Pmts_Year_Mtg_2">CashFlows!$D$16</definedName>
    <definedName name="Points_Mtg_1">CashFlows!$C$19</definedName>
    <definedName name="Points_Mtg_2">CashFlows!$D$19</definedName>
    <definedName name="Prepared_by">APOD!$M$56</definedName>
    <definedName name="Prepared_for">APOD!$M$55</definedName>
    <definedName name="PRI_APOD">APOD!$K$18</definedName>
    <definedName name="Price">APOD!#REF!</definedName>
    <definedName name="_xlnm.Print_Area" localSheetId="0">APOD!$A$1:$V$57</definedName>
    <definedName name="_xlnm.Print_Area" localSheetId="5">Assumptions!$A$1:$M$24</definedName>
    <definedName name="_xlnm.Print_Area" localSheetId="2">CashFlows!$A$1:$M$54</definedName>
    <definedName name="_xlnm.Print_Area" localSheetId="4">'IRR~NPV'!$B$1:$M$67</definedName>
    <definedName name="_xlnm.Print_Area" localSheetId="3">Sales!$A$1:$F$51</definedName>
    <definedName name="Property_Type">APOD!$C$3</definedName>
    <definedName name="Puchase_Price">APOD!$C$1</definedName>
    <definedName name="purchase_price">APOD!$M$3</definedName>
    <definedName name="Rate_Mtg_1">CashFlows!$C$13</definedName>
    <definedName name="Rate_Mtg_2">CashFlows!$D$13</definedName>
    <definedName name="RecaptureSL">Assumptions!$B$3</definedName>
    <definedName name="Reserves">APOD!$K$52</definedName>
    <definedName name="Size_of_Property">APOD!$C$4</definedName>
    <definedName name="SPAT_1" localSheetId="4">Sales!#REF!</definedName>
    <definedName name="SPAT_1">Sales!#REF!</definedName>
    <definedName name="SPAT_2" localSheetId="4">Sales!#REF!</definedName>
    <definedName name="SPAT_2">Sales!#REF!</definedName>
    <definedName name="SPAT_3" localSheetId="4">Sales!#REF!</definedName>
    <definedName name="SPAT_3">Sales!#REF!</definedName>
    <definedName name="SPAT1">Sales!$B$48</definedName>
    <definedName name="SPAT2">Sales!$D$48</definedName>
    <definedName name="SPAT3">Sales!$F$48</definedName>
    <definedName name="SPBT_1" localSheetId="4">Sales!#REF!</definedName>
    <definedName name="SPBT_2" localSheetId="4">Sales!#REF!</definedName>
    <definedName name="SPBT_3" localSheetId="4">Sales!#REF!</definedName>
    <definedName name="SPBT1">Sales!$B$44</definedName>
    <definedName name="SPBT2">Sales!$D$44</definedName>
    <definedName name="SPBT3">Sales!$F$44</definedName>
    <definedName name="Tax_Rate_on_Straight_Line_Recapture">[1]Assumptions!$B$3</definedName>
    <definedName name="Total_Beginning_Mortgages">APOD!$M$6</definedName>
    <definedName name="Useful_Life_Personal">CashFlows!$G$14</definedName>
    <definedName name="Useful_Life_Real">CashFlows!$F$14</definedName>
    <definedName name="Vac_Yr_1">Assumptions!$C$7</definedName>
    <definedName name="Vac_Yr_10">Assumptions!$L$7</definedName>
    <definedName name="Vac_Yr_11">Assumptions!$M$7</definedName>
    <definedName name="Vac_Yr_2">Assumptions!$D$7</definedName>
    <definedName name="Vac_Yr_3">Assumptions!$E$7</definedName>
    <definedName name="Vac_Yr_4">Assumptions!$F$7</definedName>
    <definedName name="Vac_Yr_5">Assumptions!$G$7</definedName>
    <definedName name="Vac_Yr_6">Assumptions!$H$7</definedName>
    <definedName name="Vac_Yr_7">Assumptions!$I$7</definedName>
    <definedName name="Vac_Yr_8">Assumptions!$J$7</definedName>
    <definedName name="Vac_Yr_9">Assumptions!$K$7</definedName>
    <definedName name="Value_Improvements_Real">CashFlows!$F$12</definedName>
    <definedName name="Value_Personal">CashFlows!$G$12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3" l="1"/>
  <c r="D17" i="3"/>
  <c r="F17" i="3"/>
  <c r="B1" i="7"/>
  <c r="B2" i="7"/>
  <c r="F16" i="3"/>
  <c r="B3" i="7"/>
  <c r="D16" i="3"/>
  <c r="B4" i="7"/>
  <c r="B16" i="3"/>
  <c r="C17" i="2"/>
  <c r="C18" i="2"/>
  <c r="D16" i="2"/>
  <c r="D17" i="2"/>
  <c r="D18" i="2"/>
  <c r="K49" i="1"/>
  <c r="B4" i="5"/>
  <c r="E54" i="5"/>
  <c r="B6" i="3"/>
  <c r="C6" i="3"/>
  <c r="K21" i="1"/>
  <c r="I19" i="1"/>
  <c r="E25" i="2"/>
  <c r="D7" i="5"/>
  <c r="E26" i="2"/>
  <c r="E8" i="5"/>
  <c r="F25" i="2"/>
  <c r="F8" i="5"/>
  <c r="G25" i="2"/>
  <c r="E7" i="5"/>
  <c r="F7" i="5"/>
  <c r="G26" i="2"/>
  <c r="G8" i="5"/>
  <c r="H8" i="5"/>
  <c r="I8" i="5"/>
  <c r="J8" i="5"/>
  <c r="K8" i="5"/>
  <c r="L8" i="5"/>
  <c r="M8" i="5"/>
  <c r="G7" i="5"/>
  <c r="E9" i="5"/>
  <c r="F9" i="5"/>
  <c r="G9" i="5"/>
  <c r="H9" i="5"/>
  <c r="I9" i="5"/>
  <c r="J9" i="5"/>
  <c r="K9" i="5"/>
  <c r="L9" i="5"/>
  <c r="M9" i="5"/>
  <c r="E10" i="5"/>
  <c r="F10" i="5"/>
  <c r="G10" i="5"/>
  <c r="H10" i="5"/>
  <c r="I10" i="5"/>
  <c r="J10" i="5"/>
  <c r="K10" i="5"/>
  <c r="L10" i="5"/>
  <c r="M10" i="5"/>
  <c r="D6" i="3"/>
  <c r="E6" i="3"/>
  <c r="F6" i="3"/>
  <c r="B11" i="3"/>
  <c r="A55" i="1"/>
  <c r="A50" i="3"/>
  <c r="K52" i="1"/>
  <c r="D47" i="2"/>
  <c r="E47" i="2"/>
  <c r="F47" i="2"/>
  <c r="G47" i="2"/>
  <c r="G33" i="2"/>
  <c r="F33" i="2"/>
  <c r="K51" i="1"/>
  <c r="D38" i="2"/>
  <c r="E14" i="1"/>
  <c r="F20" i="3"/>
  <c r="C12" i="1"/>
  <c r="F16" i="2"/>
  <c r="D15" i="2"/>
  <c r="D37" i="2"/>
  <c r="E37" i="2"/>
  <c r="F37" i="2"/>
  <c r="G37" i="2"/>
  <c r="H37" i="2"/>
  <c r="I37" i="2"/>
  <c r="J37" i="2"/>
  <c r="K37" i="2"/>
  <c r="L37" i="2"/>
  <c r="M37" i="2"/>
  <c r="A45" i="3"/>
  <c r="M12" i="1"/>
  <c r="B40" i="2"/>
  <c r="A46" i="3"/>
  <c r="A47" i="3"/>
  <c r="G5" i="2"/>
  <c r="M6" i="1"/>
  <c r="M7" i="1"/>
  <c r="E186" i="4"/>
  <c r="C4" i="2"/>
  <c r="C14" i="1"/>
  <c r="U13" i="1"/>
  <c r="S13" i="1"/>
  <c r="Q13" i="1"/>
  <c r="O13" i="1"/>
  <c r="M13" i="1"/>
  <c r="K13" i="1"/>
  <c r="U12" i="1"/>
  <c r="S12" i="1"/>
  <c r="Q12" i="1"/>
  <c r="O12" i="1"/>
  <c r="K12" i="1"/>
  <c r="E11" i="1"/>
  <c r="K169" i="4"/>
  <c r="H169" i="4"/>
  <c r="E169" i="4"/>
  <c r="D53" i="5"/>
  <c r="E53" i="5"/>
  <c r="E23" i="2"/>
  <c r="F23" i="2"/>
  <c r="G23" i="2"/>
  <c r="H23" i="2"/>
  <c r="I23" i="2"/>
  <c r="J23" i="2"/>
  <c r="K23" i="2"/>
  <c r="L23" i="2"/>
  <c r="M23" i="2"/>
  <c r="C41" i="2"/>
  <c r="C3" i="2"/>
  <c r="C5" i="2"/>
  <c r="C6" i="2"/>
  <c r="G3" i="2"/>
  <c r="G4" i="2"/>
  <c r="G6" i="2"/>
  <c r="K38" i="4"/>
  <c r="H38" i="4"/>
  <c r="E38" i="4"/>
  <c r="E4" i="4"/>
  <c r="H4" i="4"/>
  <c r="K4" i="4"/>
  <c r="E23" i="4"/>
  <c r="H23" i="4"/>
  <c r="K23" i="4"/>
  <c r="C4" i="3"/>
  <c r="D4" i="3"/>
  <c r="E4" i="3"/>
  <c r="F4" i="3"/>
  <c r="B9" i="3"/>
  <c r="C9" i="3"/>
  <c r="D9" i="3"/>
  <c r="E9" i="3"/>
  <c r="F9" i="3"/>
  <c r="F26" i="2"/>
  <c r="F27" i="2"/>
  <c r="G7" i="2"/>
  <c r="K186" i="4"/>
  <c r="H186" i="4"/>
  <c r="E10" i="1"/>
  <c r="E9" i="1"/>
  <c r="E38" i="2"/>
  <c r="D46" i="2"/>
  <c r="H47" i="2"/>
  <c r="I47" i="2"/>
  <c r="J47" i="2"/>
  <c r="K47" i="2"/>
  <c r="L47" i="2"/>
  <c r="M47" i="2"/>
  <c r="B43" i="3"/>
  <c r="B38" i="3"/>
  <c r="B35" i="3"/>
  <c r="C11" i="3"/>
  <c r="J33" i="2"/>
  <c r="H25" i="2"/>
  <c r="G27" i="2"/>
  <c r="B20" i="3"/>
  <c r="D20" i="3"/>
  <c r="H7" i="5"/>
  <c r="D33" i="2"/>
  <c r="H33" i="2"/>
  <c r="I33" i="2"/>
  <c r="D28" i="2"/>
  <c r="E28" i="2"/>
  <c r="F28" i="2"/>
  <c r="G28" i="2"/>
  <c r="H28" i="2"/>
  <c r="I28" i="2"/>
  <c r="J28" i="2"/>
  <c r="K28" i="2"/>
  <c r="L28" i="2"/>
  <c r="M28" i="2"/>
  <c r="N28" i="2"/>
  <c r="F12" i="2"/>
  <c r="E33" i="2"/>
  <c r="E27" i="2"/>
  <c r="D25" i="2"/>
  <c r="K20" i="1"/>
  <c r="K22" i="1"/>
  <c r="D32" i="2"/>
  <c r="D54" i="5"/>
  <c r="B5" i="3"/>
  <c r="B7" i="3"/>
  <c r="D26" i="2"/>
  <c r="D27" i="2"/>
  <c r="D29" i="2"/>
  <c r="I7" i="5"/>
  <c r="D44" i="2"/>
  <c r="D11" i="3"/>
  <c r="K33" i="2"/>
  <c r="F35" i="3"/>
  <c r="F37" i="3"/>
  <c r="F45" i="3"/>
  <c r="B37" i="3"/>
  <c r="B45" i="3"/>
  <c r="D35" i="3"/>
  <c r="D37" i="3"/>
  <c r="D45" i="3"/>
  <c r="D35" i="2"/>
  <c r="M35" i="2"/>
  <c r="E35" i="2"/>
  <c r="F35" i="2"/>
  <c r="G35" i="2"/>
  <c r="H35" i="2"/>
  <c r="I35" i="2"/>
  <c r="J35" i="2"/>
  <c r="K35" i="2"/>
  <c r="L35" i="2"/>
  <c r="I25" i="2"/>
  <c r="I26" i="2"/>
  <c r="F38" i="2"/>
  <c r="E46" i="2"/>
  <c r="D43" i="3"/>
  <c r="F43" i="3"/>
  <c r="E29" i="2"/>
  <c r="C5" i="3"/>
  <c r="E32" i="2"/>
  <c r="I35" i="1"/>
  <c r="I39" i="1"/>
  <c r="I43" i="1"/>
  <c r="I28" i="1"/>
  <c r="I36" i="1"/>
  <c r="I40" i="1"/>
  <c r="I44" i="1"/>
  <c r="I30" i="1"/>
  <c r="I34" i="1"/>
  <c r="I38" i="1"/>
  <c r="I42" i="1"/>
  <c r="I46" i="1"/>
  <c r="I37" i="1"/>
  <c r="I25" i="1"/>
  <c r="I41" i="1"/>
  <c r="I45" i="1"/>
  <c r="H26" i="2"/>
  <c r="H27" i="2"/>
  <c r="H29" i="2"/>
  <c r="G29" i="2"/>
  <c r="F29" i="2"/>
  <c r="G38" i="2"/>
  <c r="F46" i="2"/>
  <c r="J7" i="5"/>
  <c r="J25" i="2"/>
  <c r="J26" i="2"/>
  <c r="I27" i="2"/>
  <c r="I29" i="2"/>
  <c r="L33" i="2"/>
  <c r="E11" i="3"/>
  <c r="B22" i="3"/>
  <c r="K47" i="1"/>
  <c r="D5" i="3"/>
  <c r="F32" i="2"/>
  <c r="C7" i="3"/>
  <c r="E44" i="2"/>
  <c r="D30" i="2"/>
  <c r="D31" i="2"/>
  <c r="E30" i="2"/>
  <c r="K48" i="1"/>
  <c r="D22" i="3"/>
  <c r="B24" i="3"/>
  <c r="B28" i="3"/>
  <c r="K25" i="2"/>
  <c r="J27" i="2"/>
  <c r="J29" i="2"/>
  <c r="K7" i="5"/>
  <c r="F11" i="3"/>
  <c r="M33" i="2"/>
  <c r="H38" i="2"/>
  <c r="G46" i="2"/>
  <c r="E5" i="3"/>
  <c r="D7" i="3"/>
  <c r="F44" i="2"/>
  <c r="G32" i="2"/>
  <c r="F5" i="3"/>
  <c r="E7" i="3"/>
  <c r="H32" i="2"/>
  <c r="L25" i="2"/>
  <c r="L26" i="2"/>
  <c r="K50" i="1"/>
  <c r="K53" i="1"/>
  <c r="K26" i="2"/>
  <c r="K27" i="2"/>
  <c r="K29" i="2"/>
  <c r="F30" i="2"/>
  <c r="E31" i="2"/>
  <c r="F22" i="3"/>
  <c r="F24" i="3"/>
  <c r="F28" i="3"/>
  <c r="D24" i="3"/>
  <c r="D28" i="3"/>
  <c r="G44" i="2"/>
  <c r="H46" i="2"/>
  <c r="I38" i="2"/>
  <c r="L7" i="5"/>
  <c r="D34" i="2"/>
  <c r="D45" i="2"/>
  <c r="D43" i="2"/>
  <c r="D48" i="2"/>
  <c r="E170" i="4"/>
  <c r="E5" i="4"/>
  <c r="E34" i="2"/>
  <c r="E45" i="2"/>
  <c r="E43" i="2"/>
  <c r="I46" i="2"/>
  <c r="J38" i="2"/>
  <c r="D39" i="2"/>
  <c r="D40" i="2"/>
  <c r="D49" i="2"/>
  <c r="M7" i="5"/>
  <c r="G30" i="2"/>
  <c r="F31" i="2"/>
  <c r="L27" i="2"/>
  <c r="L29" i="2"/>
  <c r="M25" i="2"/>
  <c r="M26" i="2"/>
  <c r="B10" i="3"/>
  <c r="F7" i="3"/>
  <c r="H44" i="2"/>
  <c r="I32" i="2"/>
  <c r="D50" i="2"/>
  <c r="E24" i="4"/>
  <c r="H170" i="4"/>
  <c r="K5" i="4"/>
  <c r="K170" i="4"/>
  <c r="H5" i="4"/>
  <c r="E48" i="2"/>
  <c r="E171" i="4"/>
  <c r="E39" i="2"/>
  <c r="E40" i="2"/>
  <c r="E49" i="2"/>
  <c r="E50" i="2"/>
  <c r="H187" i="4"/>
  <c r="E187" i="4"/>
  <c r="H24" i="4"/>
  <c r="K24" i="4"/>
  <c r="K171" i="4"/>
  <c r="H6" i="4"/>
  <c r="H171" i="4"/>
  <c r="K6" i="4"/>
  <c r="E6" i="4"/>
  <c r="H30" i="2"/>
  <c r="G31" i="2"/>
  <c r="K38" i="2"/>
  <c r="J46" i="2"/>
  <c r="F43" i="2"/>
  <c r="F34" i="2"/>
  <c r="F45" i="2"/>
  <c r="C10" i="3"/>
  <c r="B12" i="3"/>
  <c r="I44" i="2"/>
  <c r="J32" i="2"/>
  <c r="M27" i="2"/>
  <c r="M29" i="2"/>
  <c r="N25" i="2"/>
  <c r="N26" i="2"/>
  <c r="K187" i="4"/>
  <c r="F48" i="2"/>
  <c r="E172" i="4"/>
  <c r="K46" i="2"/>
  <c r="L38" i="2"/>
  <c r="D10" i="3"/>
  <c r="C12" i="3"/>
  <c r="J44" i="2"/>
  <c r="K32" i="2"/>
  <c r="G43" i="2"/>
  <c r="G34" i="2"/>
  <c r="G45" i="2"/>
  <c r="K188" i="4"/>
  <c r="E188" i="4"/>
  <c r="E25" i="4"/>
  <c r="H25" i="4"/>
  <c r="H188" i="4"/>
  <c r="K25" i="4"/>
  <c r="I30" i="2"/>
  <c r="H31" i="2"/>
  <c r="H172" i="4"/>
  <c r="N27" i="2"/>
  <c r="N29" i="2"/>
  <c r="F39" i="2"/>
  <c r="F40" i="2"/>
  <c r="F49" i="2"/>
  <c r="F50" i="2"/>
  <c r="E7" i="4"/>
  <c r="K172" i="4"/>
  <c r="K7" i="4"/>
  <c r="G48" i="2"/>
  <c r="K173" i="4"/>
  <c r="H7" i="4"/>
  <c r="J30" i="2"/>
  <c r="I31" i="2"/>
  <c r="G39" i="2"/>
  <c r="G40" i="2"/>
  <c r="G49" i="2"/>
  <c r="H34" i="2"/>
  <c r="H45" i="2"/>
  <c r="H43" i="2"/>
  <c r="M38" i="2"/>
  <c r="M46" i="2"/>
  <c r="L46" i="2"/>
  <c r="K189" i="4"/>
  <c r="E189" i="4"/>
  <c r="H189" i="4"/>
  <c r="E26" i="4"/>
  <c r="K26" i="4"/>
  <c r="H26" i="4"/>
  <c r="E10" i="3"/>
  <c r="L32" i="2"/>
  <c r="D12" i="3"/>
  <c r="K44" i="2"/>
  <c r="H48" i="2"/>
  <c r="K174" i="4"/>
  <c r="H39" i="2"/>
  <c r="H40" i="2"/>
  <c r="H49" i="2"/>
  <c r="E173" i="4"/>
  <c r="G50" i="2"/>
  <c r="H27" i="4"/>
  <c r="H173" i="4"/>
  <c r="E8" i="4"/>
  <c r="A8" i="4"/>
  <c r="H8" i="4"/>
  <c r="K8" i="4"/>
  <c r="E9" i="4"/>
  <c r="E174" i="4"/>
  <c r="M32" i="2"/>
  <c r="F10" i="3"/>
  <c r="F12" i="3"/>
  <c r="B42" i="3"/>
  <c r="E12" i="3"/>
  <c r="L44" i="2"/>
  <c r="K30" i="2"/>
  <c r="J31" i="2"/>
  <c r="I43" i="2"/>
  <c r="I34" i="2"/>
  <c r="I45" i="2"/>
  <c r="K9" i="4"/>
  <c r="H9" i="4"/>
  <c r="H174" i="4"/>
  <c r="H50" i="2"/>
  <c r="K191" i="4"/>
  <c r="K27" i="4"/>
  <c r="E190" i="4"/>
  <c r="H190" i="4"/>
  <c r="E27" i="4"/>
  <c r="K190" i="4"/>
  <c r="I48" i="2"/>
  <c r="E175" i="4"/>
  <c r="I39" i="2"/>
  <c r="I40" i="2"/>
  <c r="I49" i="2"/>
  <c r="I50" i="2"/>
  <c r="L30" i="2"/>
  <c r="K31" i="2"/>
  <c r="F42" i="3"/>
  <c r="D42" i="3"/>
  <c r="K175" i="4"/>
  <c r="H175" i="4"/>
  <c r="H10" i="4"/>
  <c r="E10" i="4"/>
  <c r="H191" i="4"/>
  <c r="K28" i="4"/>
  <c r="E28" i="4"/>
  <c r="H28" i="4"/>
  <c r="J43" i="2"/>
  <c r="J34" i="2"/>
  <c r="J45" i="2"/>
  <c r="M44" i="2"/>
  <c r="E191" i="4"/>
  <c r="J39" i="2"/>
  <c r="J40" i="2"/>
  <c r="J49" i="2"/>
  <c r="K10" i="4"/>
  <c r="K43" i="2"/>
  <c r="K34" i="2"/>
  <c r="K45" i="2"/>
  <c r="J48" i="2"/>
  <c r="K192" i="4"/>
  <c r="E192" i="4"/>
  <c r="K29" i="4"/>
  <c r="H192" i="4"/>
  <c r="E29" i="4"/>
  <c r="H29" i="4"/>
  <c r="M30" i="2"/>
  <c r="L31" i="2"/>
  <c r="J50" i="2"/>
  <c r="E11" i="4"/>
  <c r="K176" i="4"/>
  <c r="H176" i="4"/>
  <c r="H11" i="4"/>
  <c r="K11" i="4"/>
  <c r="E176" i="4"/>
  <c r="N30" i="2"/>
  <c r="N31" i="2"/>
  <c r="M31" i="2"/>
  <c r="L34" i="2"/>
  <c r="L45" i="2"/>
  <c r="L43" i="2"/>
  <c r="K48" i="2"/>
  <c r="K39" i="2"/>
  <c r="K40" i="2"/>
  <c r="K49" i="2"/>
  <c r="K50" i="2"/>
  <c r="K177" i="4"/>
  <c r="H177" i="4"/>
  <c r="E177" i="4"/>
  <c r="H12" i="4"/>
  <c r="K12" i="4"/>
  <c r="E12" i="4"/>
  <c r="L39" i="2"/>
  <c r="L40" i="2"/>
  <c r="L49" i="2"/>
  <c r="M43" i="2"/>
  <c r="M34" i="2"/>
  <c r="M45" i="2"/>
  <c r="M39" i="2"/>
  <c r="M40" i="2"/>
  <c r="M49" i="2"/>
  <c r="K193" i="4"/>
  <c r="E193" i="4"/>
  <c r="E30" i="4"/>
  <c r="H193" i="4"/>
  <c r="K30" i="4"/>
  <c r="H30" i="4"/>
  <c r="L48" i="2"/>
  <c r="B26" i="3"/>
  <c r="B39" i="3"/>
  <c r="F39" i="3"/>
  <c r="F26" i="3"/>
  <c r="K178" i="4"/>
  <c r="H178" i="4"/>
  <c r="K13" i="4"/>
  <c r="E13" i="4"/>
  <c r="L50" i="2"/>
  <c r="E178" i="4"/>
  <c r="H13" i="4"/>
  <c r="D26" i="3"/>
  <c r="D39" i="3"/>
  <c r="M48" i="2"/>
  <c r="H194" i="4"/>
  <c r="H31" i="4"/>
  <c r="E194" i="4"/>
  <c r="K194" i="4"/>
  <c r="K31" i="4"/>
  <c r="E31" i="4"/>
  <c r="M50" i="2"/>
  <c r="D27" i="3"/>
  <c r="D40" i="3"/>
  <c r="F27" i="3"/>
  <c r="F40" i="3"/>
  <c r="F44" i="3"/>
  <c r="D44" i="3"/>
  <c r="H195" i="4"/>
  <c r="K195" i="4"/>
  <c r="E195" i="4"/>
  <c r="K32" i="4"/>
  <c r="E32" i="4"/>
  <c r="H32" i="4"/>
  <c r="B27" i="3"/>
  <c r="B40" i="3"/>
  <c r="B44" i="3"/>
  <c r="K14" i="4"/>
  <c r="K179" i="4"/>
  <c r="E179" i="4"/>
  <c r="E14" i="4"/>
  <c r="F29" i="3"/>
  <c r="D29" i="3"/>
  <c r="H14" i="4"/>
  <c r="B29" i="3"/>
  <c r="H179" i="4"/>
  <c r="K180" i="4"/>
  <c r="K17" i="4"/>
  <c r="K16" i="4"/>
  <c r="H180" i="4"/>
  <c r="H17" i="4"/>
  <c r="H16" i="4"/>
  <c r="D41" i="3"/>
  <c r="D30" i="3"/>
  <c r="B41" i="3"/>
  <c r="B30" i="3"/>
  <c r="F41" i="3"/>
  <c r="F30" i="3"/>
  <c r="E180" i="4"/>
  <c r="E17" i="4"/>
  <c r="E16" i="4"/>
  <c r="K15" i="4"/>
  <c r="H15" i="4"/>
  <c r="E15" i="4"/>
  <c r="B31" i="3"/>
  <c r="B46" i="3"/>
  <c r="F31" i="3"/>
  <c r="F46" i="3"/>
  <c r="D31" i="3"/>
  <c r="D46" i="3"/>
  <c r="F33" i="3"/>
  <c r="F47" i="3"/>
  <c r="F48" i="3"/>
  <c r="D33" i="3"/>
  <c r="D47" i="3"/>
  <c r="D48" i="3"/>
  <c r="B33" i="3"/>
  <c r="B47" i="3"/>
  <c r="B48" i="3"/>
  <c r="H196" i="4"/>
  <c r="H33" i="4"/>
  <c r="E33" i="4"/>
  <c r="E196" i="4"/>
  <c r="K33" i="4"/>
  <c r="K196" i="4"/>
  <c r="E197" i="4"/>
  <c r="E36" i="4"/>
  <c r="E35" i="4"/>
  <c r="K197" i="4"/>
  <c r="K36" i="4"/>
  <c r="K35" i="4"/>
  <c r="H197" i="4"/>
  <c r="H36" i="4"/>
  <c r="H35" i="4"/>
  <c r="K34" i="4"/>
  <c r="H34" i="4"/>
  <c r="E34" i="4"/>
</calcChain>
</file>

<file path=xl/comments1.xml><?xml version="1.0" encoding="utf-8"?>
<comments xmlns="http://schemas.openxmlformats.org/spreadsheetml/2006/main">
  <authors>
    <author>gary tharp</author>
  </authors>
  <commentList>
    <comment ref="K12" authorId="0">
      <text>
        <r>
          <rPr>
            <b/>
            <sz val="8"/>
            <color indexed="10"/>
            <rFont val="Tahoma"/>
            <family val="2"/>
          </rPr>
          <t xml:space="preserve"> Please enter this mortgage information on the Cash Flows worksheet.</t>
        </r>
      </text>
    </comment>
    <comment ref="M12" authorId="0">
      <text>
        <r>
          <rPr>
            <b/>
            <sz val="8"/>
            <color indexed="10"/>
            <rFont val="Tahoma"/>
            <family val="2"/>
          </rPr>
          <t xml:space="preserve"> Please enter this mortgage information on the Cash Flows worksheet.</t>
        </r>
      </text>
    </comment>
    <comment ref="O12" authorId="0">
      <text>
        <r>
          <rPr>
            <b/>
            <sz val="8"/>
            <color indexed="10"/>
            <rFont val="Tahoma"/>
            <family val="2"/>
          </rPr>
          <t xml:space="preserve"> Please enter this mortage information on the Cash Flows worksheet.</t>
        </r>
      </text>
    </comment>
    <comment ref="Q12" authorId="0">
      <text>
        <r>
          <rPr>
            <b/>
            <sz val="8"/>
            <color indexed="10"/>
            <rFont val="Tahoma"/>
            <family val="2"/>
          </rPr>
          <t xml:space="preserve"> Please enter this mortage information on the Cash Flows worksheet.</t>
        </r>
      </text>
    </comment>
    <comment ref="S12" authorId="0">
      <text>
        <r>
          <rPr>
            <b/>
            <sz val="8"/>
            <color indexed="10"/>
            <rFont val="Tahoma"/>
            <family val="2"/>
          </rPr>
          <t>Please enter this mortage information on the Cash Flows worksheet.</t>
        </r>
      </text>
    </comment>
    <comment ref="U12" authorId="0">
      <text>
        <r>
          <rPr>
            <b/>
            <sz val="8"/>
            <color indexed="10"/>
            <rFont val="Tahoma"/>
            <family val="2"/>
          </rPr>
          <t xml:space="preserve"> Please enter this mortage information on the Cash Flows worksheet.</t>
        </r>
      </text>
    </comment>
    <comment ref="K13" authorId="0">
      <text>
        <r>
          <rPr>
            <b/>
            <sz val="8"/>
            <color indexed="10"/>
            <rFont val="Tahoma"/>
            <family val="2"/>
          </rPr>
          <t>Please enter this mortage information on the Cash Flows worksheet.</t>
        </r>
      </text>
    </comment>
    <comment ref="M13" authorId="0">
      <text>
        <r>
          <rPr>
            <b/>
            <sz val="8"/>
            <color indexed="10"/>
            <rFont val="Tahoma"/>
            <family val="2"/>
          </rPr>
          <t xml:space="preserve"> Please enter this mortage information on the Cash Flows worksheet.</t>
        </r>
      </text>
    </comment>
    <comment ref="O13" authorId="0">
      <text>
        <r>
          <rPr>
            <b/>
            <sz val="8"/>
            <color indexed="10"/>
            <rFont val="Tahoma"/>
            <family val="2"/>
          </rPr>
          <t xml:space="preserve"> Please enter this mortage information on the Cash Flows worksheet.</t>
        </r>
      </text>
    </comment>
    <comment ref="Q13" authorId="0">
      <text>
        <r>
          <rPr>
            <b/>
            <sz val="8"/>
            <color indexed="10"/>
            <rFont val="Tahoma"/>
            <family val="2"/>
          </rPr>
          <t xml:space="preserve"> Please enter this mortage information on the Cash Flows worksheet.</t>
        </r>
      </text>
    </comment>
    <comment ref="S13" authorId="0">
      <text>
        <r>
          <rPr>
            <b/>
            <sz val="8"/>
            <color indexed="10"/>
            <rFont val="Tahoma"/>
            <family val="2"/>
          </rPr>
          <t>Please enter this mortage information on the Cash Flows worksheet.</t>
        </r>
      </text>
    </comment>
    <comment ref="U13" authorId="0">
      <text>
        <r>
          <rPr>
            <b/>
            <sz val="8"/>
            <color indexed="10"/>
            <rFont val="Tahoma"/>
            <family val="2"/>
          </rPr>
          <t xml:space="preserve"> Please enter this mortage information on the Cash Flows worksheet.</t>
        </r>
      </text>
    </comment>
  </commentList>
</comments>
</file>

<file path=xl/sharedStrings.xml><?xml version="1.0" encoding="utf-8"?>
<sst xmlns="http://schemas.openxmlformats.org/spreadsheetml/2006/main" count="405" uniqueCount="214">
  <si>
    <t xml:space="preserve"> </t>
  </si>
  <si>
    <t xml:space="preserve">   Annual Property Operating Data</t>
  </si>
  <si>
    <t>Location</t>
  </si>
  <si>
    <t>Type of Property</t>
  </si>
  <si>
    <t>Size of Property</t>
  </si>
  <si>
    <t>Assessed/Appraised Values</t>
  </si>
  <si>
    <t>Land</t>
  </si>
  <si>
    <t>Improvements</t>
  </si>
  <si>
    <t>Personal Property</t>
  </si>
  <si>
    <t>Balance</t>
  </si>
  <si>
    <t>Interest</t>
  </si>
  <si>
    <t>Term</t>
  </si>
  <si>
    <t>Total</t>
  </si>
  <si>
    <t>1st</t>
  </si>
  <si>
    <t>2nd</t>
  </si>
  <si>
    <t>Adjusted Basis as of:</t>
  </si>
  <si>
    <t>$/SQ FT</t>
  </si>
  <si>
    <t>%</t>
  </si>
  <si>
    <t>ALL FIGURES ARE ANNUAL</t>
  </si>
  <si>
    <t>or $/Unit</t>
  </si>
  <si>
    <t>of GOI</t>
  </si>
  <si>
    <t>COMMENTS/FOOTNOTES</t>
  </si>
  <si>
    <t xml:space="preserve"> POTENTIAL RENTAL INCOME</t>
  </si>
  <si>
    <t xml:space="preserve"> Less: Vacancy &amp; Cr. Losses</t>
  </si>
  <si>
    <t>(</t>
  </si>
  <si>
    <t xml:space="preserve"> EFFECTIVE RENTAL INCOME</t>
  </si>
  <si>
    <t xml:space="preserve"> GROSS OPERATING INCOME</t>
  </si>
  <si>
    <t xml:space="preserve"> OPERATING EXPENSES:</t>
  </si>
  <si>
    <t xml:space="preserve"> Real Estate Taxes</t>
  </si>
  <si>
    <t xml:space="preserve"> Personal Property  Taxes</t>
  </si>
  <si>
    <t xml:space="preserve"> Property Insurance</t>
  </si>
  <si>
    <t xml:space="preserve"> Off Site Management</t>
  </si>
  <si>
    <t xml:space="preserve"> Payroll</t>
  </si>
  <si>
    <t xml:space="preserve"> Expenses/Benefits</t>
  </si>
  <si>
    <t xml:space="preserve"> Taxes/Worker's Compensation</t>
  </si>
  <si>
    <t xml:space="preserve"> Repairs and Maintenance</t>
  </si>
  <si>
    <t xml:space="preserve"> Utilities:</t>
  </si>
  <si>
    <t xml:space="preserve"> Accounting and Legal</t>
  </si>
  <si>
    <t xml:space="preserve"> Licenses/Permits</t>
  </si>
  <si>
    <t xml:space="preserve"> Advertising</t>
  </si>
  <si>
    <t xml:space="preserve"> Supplies</t>
  </si>
  <si>
    <t xml:space="preserve"> Miscellaneous Contract Services:</t>
  </si>
  <si>
    <t xml:space="preserve"> TOTAL OPERATING EXPENSES</t>
  </si>
  <si>
    <t xml:space="preserve"> NET OPERATING INCOME</t>
  </si>
  <si>
    <t xml:space="preserve"> Less: Annual Debt Service</t>
  </si>
  <si>
    <t xml:space="preserve"> Less: Funded Reserves</t>
  </si>
  <si>
    <t xml:space="preserve"> Less: Leasing Commissions</t>
  </si>
  <si>
    <r>
      <t xml:space="preserve"> </t>
    </r>
    <r>
      <rPr>
        <b/>
        <sz val="8"/>
        <rFont val="Arial"/>
        <family val="2"/>
      </rPr>
      <t>CASH FLOW BEFORE TAXES</t>
    </r>
  </si>
  <si>
    <t>The statements and figures herein, while not guaranteed, are secured from sources we believe authoritative.</t>
  </si>
  <si>
    <t>Prepared by:</t>
  </si>
  <si>
    <t xml:space="preserve">   Cash Flow Analysis Worksheet</t>
  </si>
  <si>
    <t>.</t>
  </si>
  <si>
    <t>Property Name</t>
  </si>
  <si>
    <t>Prepared For</t>
  </si>
  <si>
    <t>Prepared By</t>
  </si>
  <si>
    <t>Date Prepared</t>
  </si>
  <si>
    <t>Mortgage Data</t>
  </si>
  <si>
    <t>Cost Recovery Data</t>
  </si>
  <si>
    <t>1st Mortgage</t>
  </si>
  <si>
    <t>2nd Mortgage</t>
  </si>
  <si>
    <t>Amount</t>
  </si>
  <si>
    <t xml:space="preserve">  Value</t>
  </si>
  <si>
    <t>Interest Rate</t>
  </si>
  <si>
    <t xml:space="preserve">  C. R. Method</t>
  </si>
  <si>
    <t>SL</t>
  </si>
  <si>
    <t>Amortization Period</t>
  </si>
  <si>
    <t xml:space="preserve">  Useful Life</t>
  </si>
  <si>
    <t>Loan Term</t>
  </si>
  <si>
    <t xml:space="preserve">  In Service Date</t>
  </si>
  <si>
    <t>Payments/Year</t>
  </si>
  <si>
    <t xml:space="preserve">  Recapture</t>
  </si>
  <si>
    <t>Periodic Payment</t>
  </si>
  <si>
    <t>Annual Debt Service</t>
  </si>
  <si>
    <t xml:space="preserve">  Investment Tax </t>
  </si>
  <si>
    <r>
      <t xml:space="preserve">  Credit  </t>
    </r>
    <r>
      <rPr>
        <sz val="8"/>
        <rFont val="Arial"/>
        <family val="2"/>
      </rPr>
      <t xml:space="preserve"> ($$ or %)</t>
    </r>
  </si>
  <si>
    <t>Taxable Income</t>
  </si>
  <si>
    <t>Year :</t>
  </si>
  <si>
    <t xml:space="preserve">  Potential Rental Income</t>
  </si>
  <si>
    <t>Cash Flow</t>
  </si>
  <si>
    <t xml:space="preserve"> -Annual Debt Service</t>
  </si>
  <si>
    <t xml:space="preserve"> =CASH FLOW BEFORE TAXES</t>
  </si>
  <si>
    <r>
      <t xml:space="preserve"> -Tax Liability </t>
    </r>
    <r>
      <rPr>
        <sz val="8"/>
        <rFont val="Arial"/>
        <family val="2"/>
      </rPr>
      <t>(Savings)  (Line 16)</t>
    </r>
  </si>
  <si>
    <t xml:space="preserve"> =CASH FLOW AFTER TAXES</t>
  </si>
  <si>
    <t xml:space="preserve">        The statements and figures herein, while not guaranteed, are secured from sources we believe authoritative.</t>
  </si>
  <si>
    <t xml:space="preserve">         Alternative Cash Sales Worksheet</t>
  </si>
  <si>
    <t>Mortgage Balances</t>
  </si>
  <si>
    <t>Year:</t>
  </si>
  <si>
    <t>Principal Balance - 1st Mortgage</t>
  </si>
  <si>
    <t>Principal Balance - 2nd Mortgage</t>
  </si>
  <si>
    <t>TOTAL UNPAID BALANCE</t>
  </si>
  <si>
    <t>Calculation of Sale Proceeds</t>
  </si>
  <si>
    <t>PROJECTED SALES PRICE</t>
  </si>
  <si>
    <t>CALCULATION OF ADJUSTED BASIS:</t>
  </si>
  <si>
    <t>1       Basis at Acquisition</t>
  </si>
  <si>
    <r>
      <t>3      -Cost Recovery</t>
    </r>
    <r>
      <rPr>
        <sz val="8"/>
        <rFont val="Arial"/>
        <family val="2"/>
      </rPr>
      <t xml:space="preserve"> (Depreciation) </t>
    </r>
    <r>
      <rPr>
        <sz val="9"/>
        <rFont val="Arial"/>
        <family val="2"/>
      </rPr>
      <t>Taken</t>
    </r>
  </si>
  <si>
    <t>4      -Basis in Partial Sales</t>
  </si>
  <si>
    <t>5      =Adjusted Basis at Sale</t>
  </si>
  <si>
    <t>CALCULATION OF CAPITAL GAIN ON SALE:</t>
  </si>
  <si>
    <t>ITEMS TAXED AS ORDINARY INCOME:</t>
  </si>
  <si>
    <t>CALCULATION OF SALES PROCEEDS AFTER TAX:</t>
  </si>
  <si>
    <t>N</t>
  </si>
  <si>
    <t>BEFORE TAX</t>
  </si>
  <si>
    <t>I</t>
  </si>
  <si>
    <t>R</t>
  </si>
  <si>
    <t>Alternative 1</t>
  </si>
  <si>
    <t>Alternative 2</t>
  </si>
  <si>
    <t>Alternative 3</t>
  </si>
  <si>
    <t>U</t>
  </si>
  <si>
    <t>n</t>
  </si>
  <si>
    <t>$</t>
  </si>
  <si>
    <t>T</t>
  </si>
  <si>
    <t>E</t>
  </si>
  <si>
    <t>A</t>
  </si>
  <si>
    <t>F</t>
  </si>
  <si>
    <t>L</t>
  </si>
  <si>
    <t>O</t>
  </si>
  <si>
    <t>IRR=</t>
  </si>
  <si>
    <t>S</t>
  </si>
  <si>
    <t>AFTER TAX</t>
  </si>
  <si>
    <t>Ordinary Income Tax Bracket</t>
  </si>
  <si>
    <t>Capital Gain Max Tax Rate</t>
  </si>
  <si>
    <t>Tax Rate on Straight Line Recapture</t>
  </si>
  <si>
    <t>Month Placed in Service:</t>
  </si>
  <si>
    <t>Year----&gt;</t>
  </si>
  <si>
    <r>
      <t xml:space="preserve">Vacancy Rates    </t>
    </r>
    <r>
      <rPr>
        <sz val="7"/>
        <rFont val="Arial"/>
        <family val="2"/>
      </rPr>
      <t xml:space="preserve"> (enter just year 1, or each year)</t>
    </r>
  </si>
  <si>
    <r>
      <t xml:space="preserve">Rent Income Escalators     </t>
    </r>
    <r>
      <rPr>
        <sz val="7"/>
        <rFont val="Arial"/>
        <family val="2"/>
      </rPr>
      <t xml:space="preserve"> (enter just year 2, or each year)</t>
    </r>
  </si>
  <si>
    <r>
      <t xml:space="preserve">Expense Escalators    </t>
    </r>
    <r>
      <rPr>
        <sz val="7"/>
        <rFont val="Arial"/>
        <family val="2"/>
      </rPr>
      <t>(enter just year 2, or each year)</t>
    </r>
  </si>
  <si>
    <t>Cap rate used in Sale</t>
  </si>
  <si>
    <t>Expenses of Sale</t>
  </si>
  <si>
    <t>2d</t>
  </si>
  <si>
    <t>Payment frequency</t>
  </si>
  <si>
    <t>multiplier -- do not erase)</t>
  </si>
  <si>
    <t>Purpose of analysis</t>
  </si>
  <si>
    <t>Periodic Pmt</t>
  </si>
  <si>
    <t>Pmts/Yr</t>
  </si>
  <si>
    <t>-Leasing Commissions</t>
  </si>
  <si>
    <t>0</t>
  </si>
  <si>
    <t>1</t>
  </si>
  <si>
    <t>2</t>
  </si>
  <si>
    <t>3</t>
  </si>
  <si>
    <t>4</t>
  </si>
  <si>
    <t>5</t>
  </si>
  <si>
    <t xml:space="preserve">  Date of Sale</t>
  </si>
  <si>
    <t>Amort</t>
  </si>
  <si>
    <t>Period</t>
  </si>
  <si>
    <t>Loan</t>
  </si>
  <si>
    <t>=Real Estate Taxable Income</t>
  </si>
  <si>
    <t>-Vacancy &amp; Credit Losses</t>
  </si>
  <si>
    <t>=Effective Rental Income</t>
  </si>
  <si>
    <t>=Gross Operating Income</t>
  </si>
  <si>
    <t>-Operating Expenses</t>
  </si>
  <si>
    <t>=NET OPERATING INCOME</t>
  </si>
  <si>
    <t>-Interest - 1st Mortgage</t>
  </si>
  <si>
    <t>-Interest - 2nd Mortgage</t>
  </si>
  <si>
    <t>-Cost Recovery - Improvements</t>
  </si>
  <si>
    <t>-Cost Recovery - Personal Property</t>
  </si>
  <si>
    <t xml:space="preserve">    (from CashFlows Sheet)</t>
  </si>
  <si>
    <t>11th Year</t>
  </si>
  <si>
    <t>6</t>
  </si>
  <si>
    <t>7</t>
  </si>
  <si>
    <t>8</t>
  </si>
  <si>
    <t>9</t>
  </si>
  <si>
    <t>NPV=</t>
  </si>
  <si>
    <t>@</t>
  </si>
  <si>
    <t>Prepared for:</t>
  </si>
  <si>
    <t xml:space="preserve"> Plus:  Other Income (collectable)</t>
  </si>
  <si>
    <t>+Other Income (collectable)</t>
  </si>
  <si>
    <t>-Participation Payments</t>
  </si>
  <si>
    <t>-Amortization of Loan Fees/Costs</t>
  </si>
  <si>
    <t xml:space="preserve"> -Leasing Commissions</t>
  </si>
  <si>
    <t xml:space="preserve"> -Funded Reserves</t>
  </si>
  <si>
    <t>2      +Capital Additions</t>
  </si>
  <si>
    <t>6     Sale Price</t>
  </si>
  <si>
    <t>7    -Costs of Sale</t>
  </si>
  <si>
    <r>
      <t xml:space="preserve">8    -Adjusted Basis at Sale </t>
    </r>
    <r>
      <rPr>
        <sz val="8"/>
        <rFont val="Arial"/>
        <family val="2"/>
      </rPr>
      <t>(Line 5)</t>
    </r>
  </si>
  <si>
    <t>9    -Participation Payment on Sale</t>
  </si>
  <si>
    <t>Other Income Escalator</t>
  </si>
  <si>
    <t xml:space="preserve">Toggle the explanatory highlights and  </t>
  </si>
  <si>
    <r>
      <t xml:space="preserve">red comments </t>
    </r>
    <r>
      <rPr>
        <sz val="9"/>
        <rFont val="Arial"/>
        <family val="2"/>
      </rPr>
      <t>by using the button below.</t>
    </r>
  </si>
  <si>
    <t>(Suggest turn off before printing)</t>
  </si>
  <si>
    <t>Highlighting Flag</t>
  </si>
  <si>
    <t>Red Cells contain protected formulas</t>
  </si>
  <si>
    <t>Loan Fees/Costs</t>
  </si>
  <si>
    <t>10   =Gain or (Loss)</t>
  </si>
  <si>
    <t>11   -Straight Line Cost Recovery (limited to gain)</t>
  </si>
  <si>
    <t>12   -Suspended Losses</t>
  </si>
  <si>
    <t>13   =Capital Gain from Appreciation</t>
  </si>
  <si>
    <t>15   +</t>
  </si>
  <si>
    <t>16   =Ordinary Taxable Income</t>
  </si>
  <si>
    <t xml:space="preserve">17    Sale Price </t>
  </si>
  <si>
    <t>18  -Cost of Sale</t>
  </si>
  <si>
    <t>20  -Mortgage Balance(s)</t>
  </si>
  <si>
    <t>21  -Participaiton Payments on Sale</t>
  </si>
  <si>
    <t>22  =SALE PROCEEDS BEFORE TAX</t>
  </si>
  <si>
    <t>26  =SALE PROCEEDS AFTER TAX</t>
  </si>
  <si>
    <r>
      <t xml:space="preserve">14   Unamortized  Loan Fees/Costs </t>
    </r>
    <r>
      <rPr>
        <sz val="7"/>
        <rFont val="Arial"/>
        <family val="2"/>
      </rPr>
      <t>(negative)</t>
    </r>
  </si>
  <si>
    <r>
      <t xml:space="preserve">  NET OPERATING INCOME </t>
    </r>
    <r>
      <rPr>
        <sz val="7"/>
        <rFont val="Arial"/>
        <family val="2"/>
      </rPr>
      <t>(Line 7)</t>
    </r>
  </si>
  <si>
    <t xml:space="preserve"> -Participation Payments</t>
  </si>
  <si>
    <t xml:space="preserve"> Less: Participation Payments (from Assumptions)</t>
  </si>
  <si>
    <t>Participation:</t>
  </si>
  <si>
    <t xml:space="preserve">Cash Flows -- </t>
  </si>
  <si>
    <t xml:space="preserve">Sale Proceeds -- </t>
  </si>
  <si>
    <t>21  +Balance of Funded Reserves</t>
  </si>
  <si>
    <t>19  -Participaiton Payments on Sale</t>
  </si>
  <si>
    <t xml:space="preserve">Authored by Gary G. Tharp, CCIM    Copyright© 2004 by the CCIM Institute           </t>
  </si>
  <si>
    <t>s</t>
  </si>
  <si>
    <t>HOA</t>
  </si>
  <si>
    <t>Appreciation</t>
  </si>
  <si>
    <t>Basis</t>
  </si>
  <si>
    <t>Apprecation/year</t>
  </si>
  <si>
    <t>216 Chiming Bells Frisco</t>
  </si>
  <si>
    <t>The Reserve at Frisco</t>
  </si>
  <si>
    <t>4/4.5 bath SFH</t>
  </si>
  <si>
    <t>3705 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</si>
</sst>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_(* #,##0_);_(* \(#,##0\);_(* &quot;-&quot;_);_(@_)"/>
    <numFmt numFmtId="168" formatCode="_(* #,##0.00_);_(* \(#,##0.00\);_(* &quot;-&quot;??_);_(@_)"/>
    <numFmt numFmtId="169" formatCode="###,##?"/>
    <numFmt numFmtId="170" formatCode="_(* #,##0_);_(* \(#,##0\);_(* &quot;-&quot;??_);_(@_)"/>
    <numFmt numFmtId="171" formatCode="0.0%"/>
    <numFmt numFmtId="172" formatCode="mmmm\-yy"/>
    <numFmt numFmtId="173" formatCode="#0.##%"/>
    <numFmt numFmtId="174" formatCode="_(* #,##0.00000000_);_(* \(#,##0.00000000\);_(* &quot;-&quot;??_);_(@_)"/>
    <numFmt numFmtId="175" formatCode="##.0#%"/>
    <numFmt numFmtId="176" formatCode="&quot;Tax Liability (Savings) @ &quot;0.00%"/>
    <numFmt numFmtId="177" formatCode="0&quot; Years&quot;"/>
    <numFmt numFmtId="178" formatCode="0\ &quot;Years&quot;"/>
    <numFmt numFmtId="179" formatCode="&quot;( &quot;###.####%&quot; of PRI )&quot;"/>
    <numFmt numFmtId="180" formatCode="&quot;23  -Tax (Savings): Ordinary Income at &quot;0%&quot; (Line 16)&quot;"/>
    <numFmt numFmtId="181" formatCode="&quot;24  -Tax: Straight Line Recapture at  &quot;0%&quot;  (Line 11)&quot;"/>
    <numFmt numFmtId="182" formatCode="&quot;25  -Tax on Capital Gains at  &quot;0%&quot; (Line 13)&quot;"/>
    <numFmt numFmtId="183" formatCode="&quot;$&quot;#,##0"/>
  </numFmts>
  <fonts count="30" x14ac:knownFonts="1">
    <font>
      <sz val="9"/>
      <name val="Arial"/>
      <family val="2"/>
    </font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</font>
    <font>
      <sz val="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2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8"/>
      <name val="Times New Roman"/>
    </font>
    <font>
      <b/>
      <sz val="20"/>
      <name val="Times New Roman"/>
    </font>
    <font>
      <b/>
      <sz val="20"/>
      <name val="Times New Roman"/>
      <family val="1"/>
    </font>
    <font>
      <sz val="9"/>
      <name val="Arial"/>
    </font>
    <font>
      <i/>
      <sz val="9"/>
      <name val="Arial"/>
      <family val="2"/>
    </font>
    <font>
      <b/>
      <sz val="8"/>
      <color indexed="10"/>
      <name val="Tahoma"/>
      <family val="2"/>
    </font>
    <font>
      <vertAlign val="superscript"/>
      <sz val="9"/>
      <name val="Arial"/>
      <family val="2"/>
    </font>
    <font>
      <vertAlign val="superscript"/>
      <sz val="11"/>
      <name val="Arial"/>
      <family val="2"/>
    </font>
    <font>
      <sz val="9"/>
      <color indexed="10"/>
      <name val="Arial"/>
      <family val="2"/>
    </font>
    <font>
      <sz val="9"/>
      <color indexed="9"/>
      <name val="Arial"/>
      <family val="2"/>
    </font>
    <font>
      <u/>
      <sz val="9"/>
      <name val="Arial"/>
      <family val="2"/>
    </font>
    <font>
      <sz val="7"/>
      <color indexed="10"/>
      <name val="Arial"/>
      <family val="2"/>
    </font>
    <font>
      <u/>
      <sz val="8"/>
      <name val="Arial"/>
      <family val="2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8">
    <xf numFmtId="0" fontId="0" fillId="0" borderId="0" xfId="0"/>
    <xf numFmtId="0" fontId="0" fillId="0" borderId="1" xfId="0" applyBorder="1"/>
    <xf numFmtId="0" fontId="0" fillId="0" borderId="0" xfId="0" applyProtection="1"/>
    <xf numFmtId="0" fontId="0" fillId="0" borderId="0" xfId="0" applyBorder="1"/>
    <xf numFmtId="0" fontId="0" fillId="0" borderId="0" xfId="0" applyAlignment="1">
      <alignment horizontal="right"/>
    </xf>
    <xf numFmtId="3" fontId="0" fillId="0" borderId="1" xfId="0" applyNumberFormat="1" applyBorder="1" applyProtection="1"/>
    <xf numFmtId="164" fontId="0" fillId="0" borderId="0" xfId="0" applyNumberFormat="1" applyBorder="1" applyProtection="1"/>
    <xf numFmtId="164" fontId="0" fillId="0" borderId="0" xfId="0" applyNumberFormat="1" applyBorder="1"/>
    <xf numFmtId="15" fontId="0" fillId="0" borderId="1" xfId="0" applyNumberFormat="1" applyBorder="1" applyProtection="1">
      <protection locked="0"/>
    </xf>
    <xf numFmtId="3" fontId="0" fillId="0" borderId="0" xfId="0" applyNumberFormat="1"/>
    <xf numFmtId="3" fontId="0" fillId="0" borderId="0" xfId="0" applyNumberFormat="1" applyBorder="1" applyProtection="1"/>
    <xf numFmtId="0" fontId="0" fillId="0" borderId="0" xfId="0" applyAlignment="1">
      <alignment horizontal="centerContinuous"/>
    </xf>
    <xf numFmtId="0" fontId="4" fillId="0" borderId="0" xfId="0" quotePrefix="1" applyFont="1" applyAlignment="1" applyProtection="1">
      <alignment horizontal="centerContinuous" vertical="justify"/>
      <protection hidden="1"/>
    </xf>
    <xf numFmtId="169" fontId="0" fillId="0" borderId="1" xfId="0" applyNumberFormat="1" applyBorder="1" applyProtection="1">
      <protection locked="0"/>
    </xf>
    <xf numFmtId="9" fontId="0" fillId="0" borderId="0" xfId="0" applyNumberFormat="1"/>
    <xf numFmtId="0" fontId="0" fillId="0" borderId="2" xfId="0" applyBorder="1"/>
    <xf numFmtId="3" fontId="0" fillId="0" borderId="1" xfId="0" applyNumberFormat="1" applyBorder="1" applyAlignment="1" applyProtection="1">
      <alignment horizontal="right"/>
      <protection locked="0"/>
    </xf>
    <xf numFmtId="3" fontId="0" fillId="0" borderId="3" xfId="0" applyNumberFormat="1" applyBorder="1" applyAlignment="1" applyProtection="1">
      <alignment horizontal="right"/>
      <protection locked="0"/>
    </xf>
    <xf numFmtId="3" fontId="0" fillId="0" borderId="0" xfId="0" applyNumberFormat="1" applyProtection="1"/>
    <xf numFmtId="0" fontId="0" fillId="0" borderId="0" xfId="0" quotePrefix="1" applyAlignment="1">
      <alignment horizontal="left"/>
    </xf>
    <xf numFmtId="0" fontId="12" fillId="0" borderId="0" xfId="0" quotePrefix="1" applyFont="1" applyAlignment="1">
      <alignment horizontal="left"/>
    </xf>
    <xf numFmtId="0" fontId="8" fillId="0" borderId="2" xfId="0" quotePrefix="1" applyFont="1" applyBorder="1" applyAlignment="1">
      <alignment horizontal="left"/>
    </xf>
    <xf numFmtId="0" fontId="0" fillId="0" borderId="2" xfId="0" applyNumberFormat="1" applyBorder="1"/>
    <xf numFmtId="0" fontId="8" fillId="0" borderId="2" xfId="0" applyNumberFormat="1" applyFont="1" applyBorder="1"/>
    <xf numFmtId="164" fontId="0" fillId="0" borderId="1" xfId="0" applyNumberFormat="1" applyBorder="1"/>
    <xf numFmtId="3" fontId="0" fillId="0" borderId="4" xfId="0" applyNumberFormat="1" applyBorder="1" applyAlignment="1" applyProtection="1">
      <alignment horizontal="right"/>
      <protection locked="0"/>
    </xf>
    <xf numFmtId="37" fontId="9" fillId="0" borderId="5" xfId="0" applyNumberFormat="1" applyFont="1" applyBorder="1" applyProtection="1">
      <protection locked="0"/>
    </xf>
    <xf numFmtId="164" fontId="9" fillId="0" borderId="1" xfId="0" applyNumberFormat="1" applyFont="1" applyBorder="1" applyProtection="1">
      <protection locked="0"/>
    </xf>
    <xf numFmtId="0" fontId="9" fillId="0" borderId="0" xfId="0" applyFont="1"/>
    <xf numFmtId="164" fontId="9" fillId="0" borderId="6" xfId="0" applyNumberFormat="1" applyFont="1" applyBorder="1" applyProtection="1">
      <protection locked="0"/>
    </xf>
    <xf numFmtId="164" fontId="9" fillId="0" borderId="4" xfId="0" applyNumberFormat="1" applyFont="1" applyBorder="1" applyProtection="1">
      <protection locked="0"/>
    </xf>
    <xf numFmtId="0" fontId="0" fillId="0" borderId="0" xfId="0" applyFill="1" applyBorder="1" applyAlignment="1"/>
    <xf numFmtId="0" fontId="9" fillId="0" borderId="0" xfId="0" applyFont="1" applyFill="1" applyBorder="1" applyAlignment="1"/>
    <xf numFmtId="37" fontId="9" fillId="0" borderId="0" xfId="0" applyNumberFormat="1" applyFont="1" applyFill="1" applyBorder="1" applyAlignment="1">
      <alignment horizontal="center"/>
    </xf>
    <xf numFmtId="37" fontId="9" fillId="0" borderId="7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Continuous"/>
    </xf>
    <xf numFmtId="0" fontId="14" fillId="0" borderId="9" xfId="0" applyFont="1" applyBorder="1" applyAlignment="1">
      <alignment horizontal="center"/>
    </xf>
    <xf numFmtId="37" fontId="9" fillId="0" borderId="10" xfId="0" applyNumberFormat="1" applyFont="1" applyFill="1" applyBorder="1" applyAlignment="1">
      <alignment horizontal="center"/>
    </xf>
    <xf numFmtId="0" fontId="14" fillId="0" borderId="0" xfId="0" applyFont="1" applyAlignment="1">
      <alignment textRotation="180"/>
    </xf>
    <xf numFmtId="0" fontId="9" fillId="0" borderId="0" xfId="0" applyFont="1" applyAlignment="1">
      <alignment textRotation="180"/>
    </xf>
    <xf numFmtId="0" fontId="14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</xf>
    <xf numFmtId="3" fontId="12" fillId="0" borderId="0" xfId="0" quotePrefix="1" applyNumberFormat="1" applyFont="1" applyAlignment="1" applyProtection="1">
      <alignment horizontal="left"/>
    </xf>
    <xf numFmtId="3" fontId="0" fillId="0" borderId="11" xfId="0" applyNumberFormat="1" applyBorder="1" applyProtection="1"/>
    <xf numFmtId="3" fontId="8" fillId="0" borderId="2" xfId="0" quotePrefix="1" applyNumberFormat="1" applyFont="1" applyBorder="1" applyAlignment="1" applyProtection="1">
      <alignment horizontal="left"/>
    </xf>
    <xf numFmtId="3" fontId="9" fillId="0" borderId="6" xfId="0" applyNumberFormat="1" applyFont="1" applyBorder="1" applyAlignment="1" applyProtection="1">
      <alignment horizontal="center"/>
    </xf>
    <xf numFmtId="3" fontId="0" fillId="0" borderId="2" xfId="0" applyNumberFormat="1" applyBorder="1" applyProtection="1"/>
    <xf numFmtId="3" fontId="8" fillId="0" borderId="2" xfId="0" applyNumberFormat="1" applyFont="1" applyBorder="1" applyProtection="1"/>
    <xf numFmtId="3" fontId="0" fillId="0" borderId="6" xfId="0" applyNumberFormat="1" applyBorder="1" applyProtection="1"/>
    <xf numFmtId="3" fontId="5" fillId="0" borderId="0" xfId="0" applyNumberFormat="1" applyFont="1" applyAlignment="1" applyProtection="1">
      <alignment horizontal="center"/>
    </xf>
    <xf numFmtId="3" fontId="5" fillId="0" borderId="12" xfId="0" applyNumberFormat="1" applyFont="1" applyBorder="1" applyAlignment="1" applyProtection="1">
      <alignment horizontal="center"/>
    </xf>
    <xf numFmtId="3" fontId="5" fillId="0" borderId="9" xfId="0" applyNumberFormat="1" applyFont="1" applyBorder="1" applyAlignment="1" applyProtection="1">
      <alignment horizontal="center"/>
    </xf>
    <xf numFmtId="3" fontId="5" fillId="0" borderId="13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" fontId="0" fillId="0" borderId="4" xfId="0" applyNumberFormat="1" applyBorder="1" applyProtection="1"/>
    <xf numFmtId="3" fontId="0" fillId="0" borderId="13" xfId="0" applyNumberFormat="1" applyBorder="1" applyProtection="1"/>
    <xf numFmtId="3" fontId="2" fillId="0" borderId="13" xfId="0" quotePrefix="1" applyNumberFormat="1" applyFont="1" applyBorder="1" applyAlignment="1" applyProtection="1">
      <alignment horizontal="left"/>
    </xf>
    <xf numFmtId="3" fontId="0" fillId="0" borderId="13" xfId="0" quotePrefix="1" applyNumberFormat="1" applyBorder="1" applyAlignment="1" applyProtection="1">
      <alignment horizontal="left"/>
    </xf>
    <xf numFmtId="3" fontId="0" fillId="0" borderId="3" xfId="0" quotePrefix="1" applyNumberFormat="1" applyBorder="1" applyAlignment="1" applyProtection="1">
      <alignment horizontal="left"/>
    </xf>
    <xf numFmtId="3" fontId="13" fillId="0" borderId="2" xfId="0" quotePrefix="1" applyNumberFormat="1" applyFont="1" applyBorder="1" applyAlignment="1" applyProtection="1">
      <alignment horizontal="left"/>
    </xf>
    <xf numFmtId="0" fontId="0" fillId="0" borderId="2" xfId="0" applyBorder="1" applyProtection="1"/>
    <xf numFmtId="3" fontId="0" fillId="0" borderId="0" xfId="0" quotePrefix="1" applyNumberFormat="1" applyAlignment="1" applyProtection="1">
      <alignment horizontal="center"/>
    </xf>
    <xf numFmtId="3" fontId="2" fillId="0" borderId="0" xfId="0" quotePrefix="1" applyNumberFormat="1" applyFont="1" applyAlignment="1" applyProtection="1">
      <alignment horizontal="center"/>
    </xf>
    <xf numFmtId="37" fontId="9" fillId="0" borderId="2" xfId="0" applyNumberFormat="1" applyFont="1" applyBorder="1" applyProtection="1"/>
    <xf numFmtId="37" fontId="9" fillId="0" borderId="0" xfId="0" applyNumberFormat="1" applyFont="1" applyBorder="1" applyProtection="1"/>
    <xf numFmtId="3" fontId="0" fillId="0" borderId="0" xfId="0" applyNumberFormat="1" applyAlignment="1" applyProtection="1">
      <alignment horizontal="right"/>
      <protection locked="0"/>
    </xf>
    <xf numFmtId="3" fontId="0" fillId="0" borderId="13" xfId="0" applyNumberFormat="1" applyBorder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Protection="1">
      <protection hidden="1"/>
    </xf>
    <xf numFmtId="37" fontId="9" fillId="0" borderId="1" xfId="0" applyNumberFormat="1" applyFont="1" applyBorder="1" applyProtection="1">
      <protection locked="0"/>
    </xf>
    <xf numFmtId="164" fontId="9" fillId="0" borderId="0" xfId="0" applyNumberFormat="1" applyFont="1" applyBorder="1" applyProtection="1"/>
    <xf numFmtId="0" fontId="9" fillId="0" borderId="0" xfId="0" applyFont="1" applyProtection="1"/>
    <xf numFmtId="164" fontId="0" fillId="0" borderId="1" xfId="0" applyNumberFormat="1" applyBorder="1" applyProtection="1"/>
    <xf numFmtId="37" fontId="0" fillId="0" borderId="1" xfId="0" applyNumberFormat="1" applyBorder="1" applyProtection="1">
      <protection locked="0"/>
    </xf>
    <xf numFmtId="0" fontId="10" fillId="0" borderId="0" xfId="0" applyFont="1" applyFill="1" applyBorder="1" applyAlignment="1">
      <alignment horizontal="center"/>
    </xf>
    <xf numFmtId="37" fontId="9" fillId="0" borderId="1" xfId="0" quotePrefix="1" applyNumberFormat="1" applyFont="1" applyBorder="1" applyProtection="1">
      <protection locked="0"/>
    </xf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left"/>
    </xf>
    <xf numFmtId="0" fontId="10" fillId="2" borderId="8" xfId="0" applyFont="1" applyFill="1" applyBorder="1" applyAlignment="1">
      <alignment horizontal="centerContinuous"/>
    </xf>
    <xf numFmtId="0" fontId="0" fillId="2" borderId="8" xfId="0" applyFill="1" applyBorder="1" applyAlignment="1">
      <alignment horizontal="centerContinuous"/>
    </xf>
    <xf numFmtId="3" fontId="17" fillId="0" borderId="0" xfId="0" quotePrefix="1" applyNumberFormat="1" applyFont="1" applyAlignment="1" applyProtection="1">
      <alignment horizontal="left"/>
    </xf>
    <xf numFmtId="3" fontId="0" fillId="0" borderId="0" xfId="0" applyNumberFormat="1" applyAlignment="1" applyProtection="1">
      <alignment horizontal="centerContinuous"/>
    </xf>
    <xf numFmtId="0" fontId="11" fillId="0" borderId="0" xfId="0" quotePrefix="1" applyFont="1" applyBorder="1" applyAlignment="1" applyProtection="1">
      <alignment horizontal="centerContinuous"/>
      <protection hidden="1"/>
    </xf>
    <xf numFmtId="0" fontId="4" fillId="0" borderId="0" xfId="0" quotePrefix="1" applyFont="1" applyAlignment="1">
      <alignment horizontal="centerContinuous"/>
    </xf>
    <xf numFmtId="3" fontId="4" fillId="0" borderId="0" xfId="0" quotePrefix="1" applyNumberFormat="1" applyFont="1" applyAlignment="1" applyProtection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Alignment="1" applyProtection="1">
      <alignment horizontal="left"/>
    </xf>
    <xf numFmtId="4" fontId="0" fillId="0" borderId="0" xfId="0" applyNumberFormat="1" applyBorder="1" applyAlignment="1" applyProtection="1">
      <alignment horizontal="right"/>
      <protection locked="0"/>
    </xf>
    <xf numFmtId="3" fontId="0" fillId="0" borderId="0" xfId="0" applyNumberFormat="1" applyAlignment="1" applyProtection="1"/>
    <xf numFmtId="3" fontId="0" fillId="0" borderId="0" xfId="0" quotePrefix="1" applyNumberFormat="1" applyAlignment="1" applyProtection="1"/>
    <xf numFmtId="3" fontId="0" fillId="0" borderId="0" xfId="0" applyNumberFormat="1" applyBorder="1" applyAlignment="1" applyProtection="1"/>
    <xf numFmtId="37" fontId="9" fillId="0" borderId="2" xfId="0" applyNumberFormat="1" applyFont="1" applyBorder="1" applyProtection="1">
      <protection locked="0"/>
    </xf>
    <xf numFmtId="37" fontId="9" fillId="0" borderId="14" xfId="0" applyNumberFormat="1" applyFont="1" applyBorder="1" applyProtection="1">
      <protection locked="0"/>
    </xf>
    <xf numFmtId="37" fontId="9" fillId="0" borderId="12" xfId="0" applyNumberFormat="1" applyFont="1" applyBorder="1" applyProtection="1">
      <protection locked="0"/>
    </xf>
    <xf numFmtId="37" fontId="9" fillId="0" borderId="0" xfId="0" applyNumberFormat="1" applyFont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quotePrefix="1" applyBorder="1" applyAlignment="1">
      <alignment horizontal="left"/>
    </xf>
    <xf numFmtId="9" fontId="9" fillId="0" borderId="0" xfId="0" applyNumberFormat="1" applyFont="1" applyBorder="1" applyProtection="1">
      <protection locked="0"/>
    </xf>
    <xf numFmtId="0" fontId="18" fillId="0" borderId="0" xfId="0" quotePrefix="1" applyFont="1" applyAlignment="1" applyProtection="1">
      <alignment horizontal="left"/>
    </xf>
    <xf numFmtId="37" fontId="1" fillId="0" borderId="5" xfId="0" applyNumberFormat="1" applyFont="1" applyBorder="1" applyProtection="1">
      <protection locked="0"/>
    </xf>
    <xf numFmtId="3" fontId="19" fillId="0" borderId="0" xfId="0" quotePrefix="1" applyNumberFormat="1" applyFont="1" applyBorder="1" applyAlignment="1" applyProtection="1">
      <alignment horizontal="left"/>
    </xf>
    <xf numFmtId="3" fontId="6" fillId="0" borderId="0" xfId="0" applyNumberFormat="1" applyFont="1"/>
    <xf numFmtId="171" fontId="6" fillId="0" borderId="0" xfId="2" applyNumberFormat="1" applyFont="1"/>
    <xf numFmtId="0" fontId="19" fillId="0" borderId="0" xfId="0" applyFont="1" applyFill="1" applyBorder="1" applyAlignment="1">
      <alignment horizontal="center"/>
    </xf>
    <xf numFmtId="3" fontId="20" fillId="0" borderId="0" xfId="0" applyNumberFormat="1" applyFont="1" applyProtection="1"/>
    <xf numFmtId="3" fontId="13" fillId="0" borderId="2" xfId="0" applyNumberFormat="1" applyFont="1" applyBorder="1" applyAlignment="1" applyProtection="1">
      <alignment horizontal="left"/>
    </xf>
    <xf numFmtId="0" fontId="0" fillId="0" borderId="15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0" xfId="0" applyFont="1" applyBorder="1" applyAlignment="1" applyProtection="1">
      <alignment horizontal="centerContinuous"/>
    </xf>
    <xf numFmtId="0" fontId="0" fillId="0" borderId="0" xfId="0" applyBorder="1" applyAlignment="1">
      <alignment horizontal="centerContinuous"/>
    </xf>
    <xf numFmtId="3" fontId="0" fillId="0" borderId="12" xfId="0" applyNumberFormat="1" applyBorder="1" applyProtection="1"/>
    <xf numFmtId="0" fontId="0" fillId="0" borderId="13" xfId="0" applyBorder="1"/>
    <xf numFmtId="3" fontId="0" fillId="0" borderId="3" xfId="0" applyNumberFormat="1" applyBorder="1" applyProtection="1"/>
    <xf numFmtId="37" fontId="0" fillId="0" borderId="4" xfId="0" applyNumberFormat="1" applyFont="1" applyFill="1" applyBorder="1" applyProtection="1">
      <protection locked="0"/>
    </xf>
    <xf numFmtId="37" fontId="0" fillId="0" borderId="4" xfId="0" applyNumberFormat="1" applyFont="1" applyFill="1" applyBorder="1" applyAlignment="1" applyProtection="1">
      <alignment horizontal="right"/>
      <protection locked="0"/>
    </xf>
    <xf numFmtId="170" fontId="0" fillId="0" borderId="4" xfId="1" applyNumberFormat="1" applyFont="1" applyFill="1" applyBorder="1" applyAlignment="1" applyProtection="1">
      <alignment horizontal="right"/>
      <protection locked="0"/>
    </xf>
    <xf numFmtId="37" fontId="9" fillId="0" borderId="5" xfId="0" applyNumberFormat="1" applyFont="1" applyFill="1" applyBorder="1" applyProtection="1">
      <protection locked="0"/>
    </xf>
    <xf numFmtId="172" fontId="0" fillId="0" borderId="1" xfId="0" applyNumberFormat="1" applyBorder="1" applyAlignment="1" applyProtection="1">
      <alignment horizontal="right"/>
      <protection locked="0"/>
    </xf>
    <xf numFmtId="164" fontId="9" fillId="0" borderId="1" xfId="0" quotePrefix="1" applyNumberFormat="1" applyFont="1" applyFill="1" applyBorder="1" applyProtection="1">
      <protection locked="0"/>
    </xf>
    <xf numFmtId="37" fontId="9" fillId="0" borderId="23" xfId="0" quotePrefix="1" applyNumberFormat="1" applyFont="1" applyFill="1" applyBorder="1" applyAlignment="1">
      <alignment horizontal="center"/>
    </xf>
    <xf numFmtId="37" fontId="9" fillId="0" borderId="24" xfId="0" quotePrefix="1" applyNumberFormat="1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vertical="top"/>
    </xf>
    <xf numFmtId="3" fontId="2" fillId="0" borderId="3" xfId="0" applyNumberFormat="1" applyFont="1" applyBorder="1" applyAlignment="1" applyProtection="1">
      <alignment horizontal="left"/>
    </xf>
    <xf numFmtId="0" fontId="0" fillId="0" borderId="25" xfId="0" applyNumberFormat="1" applyBorder="1" applyAlignment="1" applyProtection="1">
      <alignment horizontal="center"/>
      <protection locked="0"/>
    </xf>
    <xf numFmtId="37" fontId="0" fillId="0" borderId="0" xfId="0" applyNumberFormat="1"/>
    <xf numFmtId="37" fontId="9" fillId="0" borderId="7" xfId="0" applyNumberFormat="1" applyFont="1" applyFill="1" applyBorder="1" applyAlignment="1">
      <alignment horizontal="left"/>
    </xf>
    <xf numFmtId="37" fontId="9" fillId="0" borderId="0" xfId="0" applyNumberFormat="1" applyFont="1" applyFill="1" applyBorder="1" applyAlignment="1">
      <alignment horizontal="left"/>
    </xf>
    <xf numFmtId="3" fontId="9" fillId="0" borderId="0" xfId="0" quotePrefix="1" applyNumberFormat="1" applyFont="1" applyBorder="1" applyAlignment="1" applyProtection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26" xfId="0" applyFont="1" applyBorder="1" applyAlignment="1">
      <alignment horizontal="right"/>
    </xf>
    <xf numFmtId="175" fontId="9" fillId="0" borderId="1" xfId="0" applyNumberFormat="1" applyFont="1" applyBorder="1" applyAlignment="1">
      <alignment horizontal="left"/>
    </xf>
    <xf numFmtId="0" fontId="0" fillId="0" borderId="1" xfId="0" applyNumberFormat="1" applyBorder="1" applyAlignment="1" applyProtection="1">
      <alignment horizontal="center"/>
      <protection locked="0"/>
    </xf>
    <xf numFmtId="37" fontId="9" fillId="0" borderId="5" xfId="0" quotePrefix="1" applyNumberFormat="1" applyFont="1" applyBorder="1" applyProtection="1">
      <protection locked="0"/>
    </xf>
    <xf numFmtId="37" fontId="9" fillId="0" borderId="6" xfId="0" quotePrefix="1" applyNumberFormat="1" applyFont="1" applyBorder="1" applyProtection="1">
      <protection locked="0"/>
    </xf>
    <xf numFmtId="0" fontId="9" fillId="0" borderId="0" xfId="0" applyFont="1" applyProtection="1">
      <protection locked="0"/>
    </xf>
    <xf numFmtId="37" fontId="9" fillId="0" borderId="4" xfId="0" quotePrefix="1" applyNumberFormat="1" applyFont="1" applyBorder="1" applyProtection="1">
      <protection locked="0"/>
    </xf>
    <xf numFmtId="3" fontId="9" fillId="0" borderId="4" xfId="0" quotePrefix="1" applyNumberFormat="1" applyFont="1" applyBorder="1" applyProtection="1">
      <protection locked="0"/>
    </xf>
    <xf numFmtId="170" fontId="0" fillId="0" borderId="0" xfId="1" applyNumberFormat="1" applyFont="1" applyBorder="1" applyProtection="1">
      <protection locked="0"/>
    </xf>
    <xf numFmtId="10" fontId="8" fillId="0" borderId="0" xfId="0" applyNumberFormat="1" applyFont="1" applyBorder="1" applyAlignment="1">
      <alignment horizontal="left"/>
    </xf>
    <xf numFmtId="37" fontId="9" fillId="0" borderId="14" xfId="0" quotePrefix="1" applyNumberFormat="1" applyFont="1" applyBorder="1" applyProtection="1">
      <protection locked="0"/>
    </xf>
    <xf numFmtId="37" fontId="9" fillId="0" borderId="14" xfId="0" applyNumberFormat="1" applyFont="1" applyFill="1" applyBorder="1" applyProtection="1">
      <protection locked="0"/>
    </xf>
    <xf numFmtId="164" fontId="9" fillId="0" borderId="2" xfId="0" applyNumberFormat="1" applyFont="1" applyBorder="1" applyProtection="1">
      <protection locked="0"/>
    </xf>
    <xf numFmtId="37" fontId="9" fillId="0" borderId="9" xfId="0" applyNumberFormat="1" applyFont="1" applyBorder="1" applyProtection="1">
      <protection locked="0"/>
    </xf>
    <xf numFmtId="37" fontId="9" fillId="0" borderId="9" xfId="0" applyNumberFormat="1" applyFont="1" applyBorder="1" applyProtection="1"/>
    <xf numFmtId="164" fontId="9" fillId="0" borderId="9" xfId="0" applyNumberFormat="1" applyFont="1" applyBorder="1" applyProtection="1">
      <protection locked="0"/>
    </xf>
    <xf numFmtId="37" fontId="9" fillId="0" borderId="4" xfId="0" applyNumberFormat="1" applyFont="1" applyBorder="1" applyProtection="1">
      <protection locked="0"/>
    </xf>
    <xf numFmtId="175" fontId="9" fillId="0" borderId="0" xfId="0" applyNumberFormat="1" applyFont="1" applyBorder="1" applyAlignment="1">
      <alignment horizontal="left"/>
    </xf>
    <xf numFmtId="37" fontId="9" fillId="0" borderId="9" xfId="0" quotePrefix="1" applyNumberFormat="1" applyFont="1" applyFill="1" applyBorder="1" applyAlignment="1">
      <alignment horizontal="center"/>
    </xf>
    <xf numFmtId="37" fontId="9" fillId="0" borderId="27" xfId="0" applyNumberFormat="1" applyFont="1" applyFill="1" applyBorder="1" applyAlignment="1">
      <alignment horizontal="left"/>
    </xf>
    <xf numFmtId="37" fontId="9" fillId="0" borderId="28" xfId="0" applyNumberFormat="1" applyFont="1" applyFill="1" applyBorder="1" applyAlignment="1">
      <alignment horizontal="left"/>
    </xf>
    <xf numFmtId="0" fontId="0" fillId="0" borderId="9" xfId="0" applyBorder="1"/>
    <xf numFmtId="0" fontId="15" fillId="0" borderId="13" xfId="0" applyFont="1" applyBorder="1" applyAlignment="1">
      <alignment textRotation="90"/>
    </xf>
    <xf numFmtId="0" fontId="0" fillId="0" borderId="0" xfId="0" applyBorder="1" applyAlignment="1"/>
    <xf numFmtId="0" fontId="0" fillId="3" borderId="0" xfId="0" applyFill="1" applyAlignment="1">
      <alignment horizontal="center"/>
    </xf>
    <xf numFmtId="0" fontId="23" fillId="0" borderId="0" xfId="0" applyFont="1"/>
    <xf numFmtId="167" fontId="9" fillId="0" borderId="0" xfId="0" quotePrefix="1" applyNumberFormat="1" applyFont="1" applyBorder="1" applyAlignment="1" applyProtection="1">
      <alignment horizontal="left"/>
    </xf>
    <xf numFmtId="165" fontId="0" fillId="0" borderId="0" xfId="0" applyNumberFormat="1" applyBorder="1" applyAlignment="1">
      <alignment horizontal="left"/>
    </xf>
    <xf numFmtId="0" fontId="0" fillId="0" borderId="0" xfId="0" applyFill="1" applyAlignment="1">
      <alignment horizontal="right"/>
    </xf>
    <xf numFmtId="173" fontId="5" fillId="4" borderId="0" xfId="2" applyNumberFormat="1" applyFont="1" applyFill="1" applyAlignment="1" applyProtection="1">
      <alignment horizontal="left"/>
      <protection locked="0"/>
    </xf>
    <xf numFmtId="173" fontId="0" fillId="0" borderId="0" xfId="2" applyNumberFormat="1" applyFont="1" applyFill="1" applyAlignment="1">
      <alignment horizontal="left"/>
    </xf>
    <xf numFmtId="0" fontId="0" fillId="3" borderId="0" xfId="0" applyFill="1"/>
    <xf numFmtId="0" fontId="9" fillId="0" borderId="0" xfId="0" applyFont="1" applyAlignment="1"/>
    <xf numFmtId="0" fontId="14" fillId="0" borderId="13" xfId="0" applyFont="1" applyBorder="1" applyAlignment="1">
      <alignment vertical="top" textRotation="180"/>
    </xf>
    <xf numFmtId="0" fontId="0" fillId="0" borderId="13" xfId="0" applyBorder="1" applyAlignment="1">
      <alignment vertical="top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6" fillId="0" borderId="0" xfId="0" quotePrefix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quotePrefix="1" applyFont="1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66" fontId="0" fillId="0" borderId="0" xfId="0" applyNumberFormat="1" applyBorder="1" applyProtection="1"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Continuous"/>
      <protection locked="0"/>
    </xf>
    <xf numFmtId="164" fontId="0" fillId="0" borderId="0" xfId="0" applyNumberForma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quotePrefix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15" fontId="0" fillId="0" borderId="0" xfId="0" applyNumberForma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0" fillId="0" borderId="1" xfId="0" quotePrefix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quotePrefix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Continuous" vertical="top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0" xfId="0" applyAlignment="1" applyProtection="1">
      <alignment horizontal="right"/>
      <protection locked="0"/>
    </xf>
    <xf numFmtId="0" fontId="11" fillId="0" borderId="0" xfId="0" quotePrefix="1" applyFont="1" applyAlignment="1" applyProtection="1">
      <alignment horizontal="left"/>
      <protection locked="0"/>
    </xf>
    <xf numFmtId="0" fontId="10" fillId="0" borderId="0" xfId="0" quotePrefix="1" applyFont="1" applyAlignment="1" applyProtection="1">
      <alignment horizontal="left"/>
      <protection locked="0"/>
    </xf>
    <xf numFmtId="0" fontId="0" fillId="0" borderId="0" xfId="0" quotePrefix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16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6" fillId="0" borderId="0" xfId="0" quotePrefix="1" applyFont="1" applyAlignment="1" applyProtection="1">
      <alignment horizontal="left"/>
      <protection locked="0"/>
    </xf>
    <xf numFmtId="0" fontId="0" fillId="0" borderId="0" xfId="0" quotePrefix="1" applyBorder="1" applyAlignment="1" applyProtection="1">
      <alignment horizontal="left"/>
      <protection locked="0"/>
    </xf>
    <xf numFmtId="166" fontId="0" fillId="0" borderId="1" xfId="0" applyNumberFormat="1" applyBorder="1" applyProtection="1"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4" fillId="0" borderId="0" xfId="0" applyFont="1" applyFill="1" applyAlignment="1" applyProtection="1">
      <alignment horizontal="centerContinuous" vertical="justify"/>
      <protection locked="0"/>
    </xf>
    <xf numFmtId="0" fontId="2" fillId="0" borderId="0" xfId="0" applyFont="1" applyBorder="1" applyAlignment="1" applyProtection="1">
      <alignment horizontal="centerContinuous" wrapText="1"/>
      <protection locked="0"/>
    </xf>
    <xf numFmtId="0" fontId="0" fillId="0" borderId="0" xfId="0" applyAlignment="1" applyProtection="1">
      <alignment horizontal="centerContinuous" wrapText="1"/>
      <protection locked="0"/>
    </xf>
    <xf numFmtId="0" fontId="7" fillId="0" borderId="0" xfId="0" quotePrefix="1" applyFont="1" applyAlignment="1" applyProtection="1">
      <alignment horizontal="centerContinuous" wrapText="1"/>
      <protection locked="0"/>
    </xf>
    <xf numFmtId="3" fontId="0" fillId="0" borderId="0" xfId="0" quotePrefix="1" applyNumberFormat="1" applyBorder="1" applyAlignment="1" applyProtection="1">
      <alignment horizontal="left"/>
    </xf>
    <xf numFmtId="0" fontId="0" fillId="0" borderId="0" xfId="0" applyAlignment="1"/>
    <xf numFmtId="3" fontId="0" fillId="0" borderId="0" xfId="0" applyNumberFormat="1" applyAlignment="1" applyProtection="1">
      <protection locked="0"/>
    </xf>
    <xf numFmtId="3" fontId="0" fillId="0" borderId="0" xfId="0" quotePrefix="1" applyNumberFormat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0" fontId="0" fillId="0" borderId="29" xfId="0" applyBorder="1" applyAlignment="1" applyProtection="1">
      <alignment horizontal="centerContinuous"/>
      <protection locked="0"/>
    </xf>
    <xf numFmtId="0" fontId="0" fillId="0" borderId="14" xfId="0" applyBorder="1" applyAlignment="1" applyProtection="1">
      <alignment horizontal="centerContinuous"/>
      <protection locked="0"/>
    </xf>
    <xf numFmtId="0" fontId="0" fillId="0" borderId="5" xfId="0" applyBorder="1" applyAlignment="1" applyProtection="1">
      <alignment horizontal="centerContinuous"/>
      <protection locked="0"/>
    </xf>
    <xf numFmtId="0" fontId="24" fillId="0" borderId="9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0" fillId="0" borderId="10" xfId="0" applyBorder="1" applyAlignment="1" applyProtection="1">
      <alignment horizontal="centerContinuous"/>
      <protection locked="0"/>
    </xf>
    <xf numFmtId="0" fontId="0" fillId="0" borderId="26" xfId="0" applyFill="1" applyBorder="1" applyAlignment="1" applyProtection="1">
      <alignment horizontal="centerContinuous"/>
      <protection locked="0"/>
    </xf>
    <xf numFmtId="0" fontId="0" fillId="0" borderId="25" xfId="0" applyBorder="1" applyAlignment="1" applyProtection="1">
      <alignment horizontal="centerContinuous"/>
      <protection locked="0"/>
    </xf>
    <xf numFmtId="0" fontId="0" fillId="0" borderId="0" xfId="0" applyFill="1" applyProtection="1">
      <protection locked="0"/>
    </xf>
    <xf numFmtId="3" fontId="5" fillId="0" borderId="0" xfId="0" quotePrefix="1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centerContinuous"/>
      <protection locked="0"/>
    </xf>
    <xf numFmtId="3" fontId="5" fillId="0" borderId="2" xfId="0" quotePrefix="1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9" fontId="5" fillId="0" borderId="1" xfId="2" applyFont="1" applyBorder="1" applyAlignment="1" applyProtection="1">
      <alignment horizontal="center"/>
    </xf>
    <xf numFmtId="0" fontId="27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</xf>
    <xf numFmtId="9" fontId="5" fillId="0" borderId="0" xfId="2" applyFont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center"/>
    </xf>
    <xf numFmtId="173" fontId="0" fillId="0" borderId="1" xfId="0" applyNumberForma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3" fontId="5" fillId="0" borderId="1" xfId="0" quotePrefix="1" applyNumberFormat="1" applyFont="1" applyFill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164" fontId="24" fillId="0" borderId="0" xfId="0" applyNumberFormat="1" applyFont="1" applyBorder="1" applyAlignment="1" applyProtection="1">
      <alignment horizontal="left"/>
      <protection locked="0"/>
    </xf>
    <xf numFmtId="169" fontId="24" fillId="0" borderId="0" xfId="0" applyNumberFormat="1" applyFont="1" applyProtection="1">
      <protection locked="0"/>
    </xf>
    <xf numFmtId="169" fontId="0" fillId="0" borderId="1" xfId="0" applyNumberFormat="1" applyBorder="1" applyProtection="1"/>
    <xf numFmtId="37" fontId="0" fillId="0" borderId="1" xfId="0" applyNumberFormat="1" applyBorder="1" applyProtection="1"/>
    <xf numFmtId="3" fontId="0" fillId="0" borderId="26" xfId="0" applyNumberFormat="1" applyBorder="1" applyAlignment="1" applyProtection="1">
      <alignment horizontal="right"/>
    </xf>
    <xf numFmtId="172" fontId="0" fillId="0" borderId="0" xfId="0" applyNumberFormat="1" applyAlignment="1" applyProtection="1">
      <alignment horizontal="right"/>
    </xf>
    <xf numFmtId="174" fontId="0" fillId="0" borderId="0" xfId="0" applyNumberFormat="1"/>
    <xf numFmtId="4" fontId="24" fillId="0" borderId="0" xfId="0" applyNumberFormat="1" applyFont="1" applyBorder="1" applyAlignment="1" applyProtection="1">
      <alignment horizontal="right"/>
      <protection locked="0"/>
    </xf>
    <xf numFmtId="3" fontId="24" fillId="0" borderId="0" xfId="0" applyNumberFormat="1" applyFont="1" applyProtection="1">
      <protection locked="0"/>
    </xf>
    <xf numFmtId="3" fontId="24" fillId="0" borderId="0" xfId="0" applyNumberFormat="1" applyFont="1" applyBorder="1" applyProtection="1">
      <protection locked="0"/>
    </xf>
    <xf numFmtId="168" fontId="0" fillId="0" borderId="0" xfId="1" applyFont="1" applyProtection="1">
      <protection locked="0"/>
    </xf>
    <xf numFmtId="168" fontId="0" fillId="0" borderId="2" xfId="1" applyFont="1" applyFill="1" applyBorder="1" applyProtection="1">
      <protection locked="0"/>
    </xf>
    <xf numFmtId="168" fontId="0" fillId="0" borderId="0" xfId="1" applyFont="1" applyBorder="1" applyAlignment="1" applyProtection="1">
      <alignment horizontal="right"/>
      <protection locked="0"/>
    </xf>
    <xf numFmtId="169" fontId="0" fillId="0" borderId="0" xfId="0" applyNumberFormat="1" applyBorder="1" applyProtection="1">
      <protection locked="0"/>
    </xf>
    <xf numFmtId="168" fontId="0" fillId="0" borderId="1" xfId="1" applyFont="1" applyFill="1" applyBorder="1" applyProtection="1">
      <protection locked="0"/>
    </xf>
    <xf numFmtId="177" fontId="0" fillId="0" borderId="4" xfId="0" applyNumberFormat="1" applyFill="1" applyBorder="1" applyProtection="1">
      <protection locked="0"/>
    </xf>
    <xf numFmtId="178" fontId="0" fillId="0" borderId="4" xfId="0" applyNumberFormat="1" applyFill="1" applyBorder="1" applyProtection="1">
      <protection locked="0"/>
    </xf>
    <xf numFmtId="170" fontId="0" fillId="0" borderId="4" xfId="1" applyNumberFormat="1" applyFont="1" applyFill="1" applyBorder="1" applyProtection="1">
      <protection locked="0"/>
    </xf>
    <xf numFmtId="10" fontId="0" fillId="0" borderId="4" xfId="2" applyNumberFormat="1" applyFont="1" applyFill="1" applyBorder="1" applyProtection="1">
      <protection locked="0"/>
    </xf>
    <xf numFmtId="168" fontId="5" fillId="0" borderId="4" xfId="1" quotePrefix="1" applyFont="1" applyFill="1" applyBorder="1" applyAlignment="1" applyProtection="1">
      <alignment horizontal="right"/>
      <protection locked="0"/>
    </xf>
    <xf numFmtId="168" fontId="5" fillId="0" borderId="0" xfId="1" quotePrefix="1" applyFont="1" applyFill="1" applyBorder="1" applyAlignment="1" applyProtection="1">
      <alignment horizontal="right"/>
      <protection locked="0"/>
    </xf>
    <xf numFmtId="180" fontId="0" fillId="0" borderId="0" xfId="0" applyNumberFormat="1" applyAlignment="1" applyProtection="1">
      <alignment horizontal="left"/>
    </xf>
    <xf numFmtId="181" fontId="0" fillId="0" borderId="0" xfId="0" applyNumberFormat="1" applyAlignment="1" applyProtection="1">
      <alignment horizontal="left"/>
    </xf>
    <xf numFmtId="182" fontId="0" fillId="0" borderId="0" xfId="2" quotePrefix="1" applyNumberFormat="1" applyFont="1" applyAlignment="1" applyProtection="1">
      <alignment horizontal="left"/>
    </xf>
    <xf numFmtId="3" fontId="9" fillId="0" borderId="5" xfId="0" quotePrefix="1" applyNumberFormat="1" applyFont="1" applyBorder="1" applyProtection="1">
      <protection locked="0"/>
    </xf>
    <xf numFmtId="9" fontId="0" fillId="0" borderId="1" xfId="2" applyFont="1" applyFill="1" applyBorder="1" applyProtection="1">
      <protection locked="0"/>
    </xf>
    <xf numFmtId="9" fontId="0" fillId="0" borderId="0" xfId="2" applyFont="1" applyProtection="1">
      <protection locked="0"/>
    </xf>
    <xf numFmtId="9" fontId="0" fillId="0" borderId="0" xfId="2" applyFont="1" applyBorder="1" applyAlignment="1" applyProtection="1">
      <alignment horizontal="right"/>
      <protection locked="0"/>
    </xf>
    <xf numFmtId="168" fontId="0" fillId="0" borderId="0" xfId="1" applyFont="1" applyFill="1" applyBorder="1" applyProtection="1">
      <protection locked="0"/>
    </xf>
    <xf numFmtId="168" fontId="5" fillId="0" borderId="1" xfId="1" applyFont="1" applyFill="1" applyBorder="1" applyAlignment="1" applyProtection="1">
      <alignment horizontal="center"/>
      <protection locked="0"/>
    </xf>
    <xf numFmtId="0" fontId="28" fillId="0" borderId="0" xfId="0" applyFont="1" applyBorder="1" applyProtection="1">
      <protection locked="0"/>
    </xf>
    <xf numFmtId="9" fontId="0" fillId="0" borderId="0" xfId="0" applyNumberFormat="1" applyProtection="1">
      <protection locked="0"/>
    </xf>
    <xf numFmtId="0" fontId="0" fillId="0" borderId="30" xfId="0" applyBorder="1" applyProtection="1">
      <protection locked="0"/>
    </xf>
    <xf numFmtId="0" fontId="22" fillId="0" borderId="0" xfId="0" applyFont="1" applyProtection="1">
      <protection locked="0"/>
    </xf>
    <xf numFmtId="10" fontId="0" fillId="0" borderId="30" xfId="0" applyNumberFormat="1" applyBorder="1" applyProtection="1">
      <protection locked="0"/>
    </xf>
    <xf numFmtId="10" fontId="0" fillId="0" borderId="0" xfId="0" applyNumberFormat="1" applyProtection="1">
      <protection locked="0"/>
    </xf>
    <xf numFmtId="10" fontId="0" fillId="0" borderId="31" xfId="0" applyNumberFormat="1" applyBorder="1" applyProtection="1">
      <protection locked="0"/>
    </xf>
    <xf numFmtId="10" fontId="0" fillId="0" borderId="32" xfId="0" applyNumberFormat="1" applyBorder="1" applyProtection="1">
      <protection locked="0"/>
    </xf>
    <xf numFmtId="0" fontId="2" fillId="0" borderId="0" xfId="0" quotePrefix="1" applyFont="1" applyAlignment="1" applyProtection="1">
      <protection locked="0"/>
    </xf>
    <xf numFmtId="170" fontId="0" fillId="0" borderId="1" xfId="1" quotePrefix="1" applyNumberFormat="1" applyFont="1" applyFill="1" applyBorder="1" applyAlignment="1" applyProtection="1">
      <alignment horizontal="right"/>
      <protection locked="0"/>
    </xf>
    <xf numFmtId="0" fontId="10" fillId="0" borderId="29" xfId="0" applyFont="1" applyBorder="1" applyAlignment="1" applyProtection="1">
      <alignment horizontal="left"/>
      <protection locked="0"/>
    </xf>
    <xf numFmtId="0" fontId="10" fillId="0" borderId="1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9" fontId="10" fillId="0" borderId="10" xfId="2" applyFont="1" applyBorder="1" applyAlignment="1" applyProtection="1">
      <alignment horizontal="center"/>
      <protection locked="0"/>
    </xf>
    <xf numFmtId="9" fontId="10" fillId="0" borderId="25" xfId="2" applyFont="1" applyBorder="1" applyAlignment="1" applyProtection="1">
      <alignment horizontal="center"/>
      <protection locked="0"/>
    </xf>
    <xf numFmtId="183" fontId="0" fillId="0" borderId="0" xfId="0" applyNumberFormat="1"/>
    <xf numFmtId="165" fontId="0" fillId="0" borderId="0" xfId="0" applyNumberFormat="1"/>
    <xf numFmtId="0" fontId="1" fillId="0" borderId="1" xfId="0" applyFont="1" applyBorder="1" applyAlignment="1" applyProtection="1">
      <alignment horizontal="centerContinuous" vertical="top"/>
      <protection locked="0"/>
    </xf>
    <xf numFmtId="9" fontId="1" fillId="0" borderId="1" xfId="0" applyNumberFormat="1" applyFont="1" applyBorder="1" applyAlignment="1" applyProtection="1">
      <alignment horizontal="center"/>
      <protection locked="0"/>
    </xf>
    <xf numFmtId="37" fontId="0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3" fontId="0" fillId="0" borderId="2" xfId="0" quotePrefix="1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16" fontId="4" fillId="0" borderId="14" xfId="0" quotePrefix="1" applyNumberFormat="1" applyFont="1" applyBorder="1" applyAlignment="1" applyProtection="1">
      <alignment horizontal="left"/>
      <protection locked="0"/>
    </xf>
    <xf numFmtId="0" fontId="4" fillId="0" borderId="14" xfId="0" quotePrefix="1" applyFont="1" applyBorder="1" applyAlignment="1" applyProtection="1">
      <alignment horizontal="left"/>
      <protection locked="0"/>
    </xf>
    <xf numFmtId="3" fontId="0" fillId="0" borderId="2" xfId="0" applyNumberForma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3" fontId="13" fillId="0" borderId="2" xfId="0" applyNumberFormat="1" applyFont="1" applyBorder="1" applyAlignment="1" applyProtection="1">
      <protection locked="0"/>
    </xf>
    <xf numFmtId="0" fontId="13" fillId="0" borderId="2" xfId="0" applyFont="1" applyBorder="1" applyAlignment="1" applyProtection="1">
      <protection locked="0"/>
    </xf>
    <xf numFmtId="171" fontId="0" fillId="0" borderId="2" xfId="0" applyNumberFormat="1" applyBorder="1" applyAlignment="1" applyProtection="1"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14" xfId="0" quotePrefix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quotePrefix="1" applyFont="1" applyBorder="1" applyAlignment="1" applyProtection="1">
      <alignment horizontal="left"/>
      <protection locked="0"/>
    </xf>
    <xf numFmtId="0" fontId="11" fillId="0" borderId="0" xfId="0" quotePrefix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protection locked="0"/>
    </xf>
    <xf numFmtId="0" fontId="2" fillId="0" borderId="0" xfId="0" applyFont="1" applyAlignment="1" applyProtection="1">
      <protection locked="0"/>
    </xf>
    <xf numFmtId="37" fontId="0" fillId="0" borderId="1" xfId="1" applyNumberFormat="1" applyFont="1" applyBorder="1" applyAlignment="1" applyProtection="1">
      <alignment horizontal="center"/>
    </xf>
    <xf numFmtId="37" fontId="0" fillId="0" borderId="1" xfId="1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quotePrefix="1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4" xfId="0" applyBorder="1" applyAlignment="1" applyProtection="1">
      <alignment horizontal="left"/>
      <protection locked="0"/>
    </xf>
    <xf numFmtId="0" fontId="11" fillId="0" borderId="0" xfId="0" quotePrefix="1" applyFont="1" applyAlignment="1" applyProtection="1">
      <alignment horizontal="left"/>
      <protection locked="0"/>
    </xf>
    <xf numFmtId="179" fontId="0" fillId="0" borderId="0" xfId="0" applyNumberFormat="1" applyAlignment="1" applyProtection="1">
      <alignment horizontal="right"/>
      <protection locked="0"/>
    </xf>
    <xf numFmtId="0" fontId="13" fillId="0" borderId="1" xfId="0" applyFont="1" applyBorder="1" applyAlignment="1" applyProtection="1">
      <protection locked="0"/>
    </xf>
    <xf numFmtId="3" fontId="0" fillId="0" borderId="1" xfId="0" applyNumberFormat="1" applyFon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3" fontId="0" fillId="0" borderId="2" xfId="0" applyNumberFormat="1" applyFont="1" applyBorder="1" applyAlignment="1" applyProtection="1">
      <alignment horizontal="center"/>
    </xf>
    <xf numFmtId="3" fontId="0" fillId="0" borderId="2" xfId="0" applyNumberForma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15" fontId="9" fillId="0" borderId="2" xfId="0" applyNumberFormat="1" applyFont="1" applyBorder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 vertical="justify"/>
      <protection hidden="1"/>
    </xf>
    <xf numFmtId="0" fontId="5" fillId="0" borderId="0" xfId="0" applyFont="1" applyAlignment="1">
      <alignment horizontal="center"/>
    </xf>
    <xf numFmtId="3" fontId="0" fillId="0" borderId="0" xfId="0" quotePrefix="1" applyNumberFormat="1" applyBorder="1" applyAlignment="1" applyProtection="1">
      <alignment horizontal="left"/>
    </xf>
    <xf numFmtId="0" fontId="0" fillId="0" borderId="0" xfId="0" applyAlignment="1"/>
    <xf numFmtId="3" fontId="0" fillId="0" borderId="0" xfId="0" quotePrefix="1" applyNumberFormat="1" applyBorder="1" applyAlignment="1" applyProtection="1">
      <alignment horizontal="left"/>
      <protection locked="0"/>
    </xf>
    <xf numFmtId="3" fontId="0" fillId="0" borderId="0" xfId="0" quotePrefix="1" applyNumberFormat="1" applyBorder="1" applyAlignment="1" applyProtection="1">
      <protection locked="0"/>
    </xf>
    <xf numFmtId="176" fontId="5" fillId="0" borderId="0" xfId="2" quotePrefix="1" applyNumberFormat="1" applyFont="1" applyBorder="1" applyAlignment="1" applyProtection="1">
      <alignment horizontal="left"/>
    </xf>
    <xf numFmtId="176" fontId="5" fillId="0" borderId="0" xfId="2" applyNumberFormat="1" applyFont="1" applyAlignment="1"/>
    <xf numFmtId="3" fontId="0" fillId="0" borderId="14" xfId="0" quotePrefix="1" applyNumberFormat="1" applyBorder="1" applyAlignment="1" applyProtection="1">
      <alignment horizontal="left"/>
    </xf>
    <xf numFmtId="0" fontId="0" fillId="0" borderId="14" xfId="0" applyBorder="1" applyAlignment="1"/>
    <xf numFmtId="3" fontId="0" fillId="0" borderId="0" xfId="0" applyNumberFormat="1" applyBorder="1" applyAlignment="1" applyProtection="1">
      <alignment horizontal="left"/>
      <protection locked="0"/>
    </xf>
    <xf numFmtId="0" fontId="10" fillId="0" borderId="0" xfId="0" quotePrefix="1" applyFont="1" applyBorder="1" applyAlignment="1" applyProtection="1">
      <alignment horizontal="center"/>
      <protection hidden="1"/>
    </xf>
    <xf numFmtId="0" fontId="4" fillId="0" borderId="14" xfId="0" quotePrefix="1" applyFont="1" applyBorder="1" applyAlignment="1" applyProtection="1">
      <alignment horizontal="center" vertical="justify"/>
      <protection hidden="1"/>
    </xf>
    <xf numFmtId="0" fontId="0" fillId="0" borderId="14" xfId="0" applyBorder="1" applyAlignment="1">
      <alignment horizontal="center"/>
    </xf>
    <xf numFmtId="0" fontId="11" fillId="0" borderId="0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0" fillId="0" borderId="9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26" xfId="0" applyFont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right"/>
      <protection locked="0"/>
    </xf>
  </cellXfs>
  <cellStyles count="3">
    <cellStyle name="Comma" xfId="1" builtinId="3"/>
    <cellStyle name="Normal" xfId="0" builtinId="0"/>
    <cellStyle name="Percent" xfId="2" builtinId="5"/>
  </cellStyles>
  <dxfs count="49"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7"/>
        </patternFill>
      </fill>
    </dxf>
    <dxf>
      <fill>
        <patternFill>
          <fgColor indexed="29"/>
          <bgColor indexed="29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27"/>
        </patternFill>
      </fill>
    </dxf>
    <dxf>
      <fill>
        <patternFill>
          <bgColor indexed="29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29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27"/>
        </patternFill>
      </fill>
    </dxf>
    <dxf>
      <fill>
        <patternFill>
          <bgColor indexed="26"/>
        </patternFill>
      </fill>
    </dxf>
    <dxf>
      <fill>
        <patternFill>
          <bgColor indexed="29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2</xdr:row>
      <xdr:rowOff>19050</xdr:rowOff>
    </xdr:from>
    <xdr:to>
      <xdr:col>12</xdr:col>
      <xdr:colOff>247650</xdr:colOff>
      <xdr:row>7</xdr:row>
      <xdr:rowOff>66675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3638550" y="504825"/>
          <a:ext cx="1724025" cy="809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Purchase Price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Plus Acquisiition Costs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Plus Loan Fees/Costs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Less Mortgages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Equals Initial Investment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152400</xdr:colOff>
          <xdr:row>24</xdr:row>
          <xdr:rowOff>101600</xdr:rowOff>
        </xdr:from>
        <xdr:to>
          <xdr:col>24</xdr:col>
          <xdr:colOff>546100</xdr:colOff>
          <xdr:row>27</xdr:row>
          <xdr:rowOff>38100</xdr:rowOff>
        </xdr:to>
        <xdr:sp macro="" textlink="">
          <xdr:nvSpPr>
            <xdr:cNvPr id="3105" name="Button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Toggle Highlighting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2</xdr:row>
      <xdr:rowOff>9525</xdr:rowOff>
    </xdr:from>
    <xdr:to>
      <xdr:col>5</xdr:col>
      <xdr:colOff>990600</xdr:colOff>
      <xdr:row>7</xdr:row>
      <xdr:rowOff>47625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4391025" y="666750"/>
          <a:ext cx="1343025" cy="809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Purchase Price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Plus Acquisiition Costs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Plus Loan Fees/Costs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Less Mortgages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Equals Initial Investment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1041400</xdr:colOff>
          <xdr:row>15</xdr:row>
          <xdr:rowOff>25400</xdr:rowOff>
        </xdr:from>
        <xdr:to>
          <xdr:col>10</xdr:col>
          <xdr:colOff>558800</xdr:colOff>
          <xdr:row>17</xdr:row>
          <xdr:rowOff>127000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Toggle Highlighting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800100</xdr:colOff>
          <xdr:row>27</xdr:row>
          <xdr:rowOff>139700</xdr:rowOff>
        </xdr:from>
        <xdr:to>
          <xdr:col>8</xdr:col>
          <xdr:colOff>584200</xdr:colOff>
          <xdr:row>30</xdr:row>
          <xdr:rowOff>50800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Toggle Highlighting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ren/Box%20Sync/Real%20Estate%20Mountain/Resort%20Realty%20Capital/Operations/Potential%20Investments/fiveSep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D"/>
      <sheetName val="CashFlows"/>
      <sheetName val="Sales"/>
      <sheetName val="IRR~NPV"/>
      <sheetName val="Assumptions"/>
      <sheetName val="ReadMeFirst"/>
    </sheetNames>
    <sheetDataSet>
      <sheetData sheetId="0"/>
      <sheetData sheetId="1"/>
      <sheetData sheetId="2"/>
      <sheetData sheetId="3"/>
      <sheetData sheetId="4">
        <row r="3">
          <cell r="B3">
            <v>0.25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trlProp" Target="../ctrlProps/ctrlProp2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I57"/>
  <sheetViews>
    <sheetView showGridLines="0" showRowColHeaders="0" showZeros="0" tabSelected="1" showOutlineSymbols="0" zoomScale="212" zoomScaleNormal="90" zoomScalePageLayoutView="90" workbookViewId="0">
      <selection activeCell="K15" sqref="K15"/>
    </sheetView>
  </sheetViews>
  <sheetFormatPr baseColWidth="10" defaultColWidth="9" defaultRowHeight="12" x14ac:dyDescent="0.15"/>
  <cols>
    <col min="1" max="1" width="3.796875" style="182" customWidth="1"/>
    <col min="2" max="2" width="14.796875" style="182" customWidth="1"/>
    <col min="3" max="3" width="10.796875" style="182" customWidth="1"/>
    <col min="4" max="4" width="1.19921875" style="182" customWidth="1"/>
    <col min="5" max="5" width="6.796875" style="182" customWidth="1"/>
    <col min="6" max="6" width="1" style="182" customWidth="1"/>
    <col min="7" max="7" width="6.796875" style="182" customWidth="1"/>
    <col min="8" max="8" width="2.796875" style="182" customWidth="1"/>
    <col min="9" max="9" width="14.796875" style="182" customWidth="1"/>
    <col min="10" max="10" width="1.19921875" style="182" customWidth="1"/>
    <col min="11" max="11" width="12.19921875" style="182" customWidth="1"/>
    <col min="12" max="12" width="1.19921875" style="182" customWidth="1"/>
    <col min="13" max="13" width="8.59765625" style="182" customWidth="1"/>
    <col min="14" max="14" width="1.796875" style="183" customWidth="1"/>
    <col min="15" max="15" width="4.796875" style="182" customWidth="1"/>
    <col min="16" max="16" width="1.796875" style="183" customWidth="1"/>
    <col min="17" max="17" width="6.796875" style="182" customWidth="1"/>
    <col min="18" max="18" width="1.796875" style="182" customWidth="1"/>
    <col min="19" max="19" width="4.796875" style="183" customWidth="1"/>
    <col min="20" max="20" width="1.796875" style="183" customWidth="1"/>
    <col min="21" max="21" width="4.796875" style="182" customWidth="1"/>
    <col min="22" max="22" width="6" style="182" customWidth="1"/>
    <col min="23" max="16384" width="9" style="182"/>
  </cols>
  <sheetData>
    <row r="1" spans="1:35" ht="24" customHeight="1" x14ac:dyDescent="0.25">
      <c r="B1" s="69" t="s">
        <v>52</v>
      </c>
      <c r="C1" s="306" t="s">
        <v>210</v>
      </c>
      <c r="D1" s="307"/>
      <c r="E1" s="307"/>
      <c r="F1" s="307"/>
      <c r="G1" s="307"/>
      <c r="H1" s="183"/>
      <c r="I1" s="184" t="s">
        <v>1</v>
      </c>
      <c r="V1" s="185"/>
    </row>
    <row r="2" spans="1:35" ht="14.25" customHeight="1" x14ac:dyDescent="0.2">
      <c r="B2" s="186" t="s">
        <v>2</v>
      </c>
      <c r="C2" s="306" t="s">
        <v>211</v>
      </c>
      <c r="D2" s="307"/>
      <c r="E2" s="307"/>
      <c r="F2" s="307"/>
      <c r="G2" s="307"/>
      <c r="H2" s="187"/>
      <c r="I2" s="18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189"/>
    </row>
    <row r="3" spans="1:35" x14ac:dyDescent="0.15">
      <c r="B3" s="186" t="s">
        <v>3</v>
      </c>
      <c r="C3" s="306" t="s">
        <v>212</v>
      </c>
      <c r="D3" s="307"/>
      <c r="E3" s="307"/>
      <c r="F3" s="307"/>
      <c r="G3" s="307"/>
      <c r="H3" s="188"/>
      <c r="I3" s="323"/>
      <c r="J3" s="315"/>
      <c r="K3" s="315"/>
      <c r="L3" s="315"/>
      <c r="M3" s="331">
        <v>1499000</v>
      </c>
      <c r="N3" s="331"/>
      <c r="O3" s="331"/>
      <c r="P3" s="331"/>
      <c r="Q3" s="331"/>
      <c r="R3" s="331"/>
      <c r="S3" s="331"/>
      <c r="T3" s="331"/>
      <c r="U3" s="331"/>
    </row>
    <row r="4" spans="1:35" x14ac:dyDescent="0.15">
      <c r="B4" s="186" t="s">
        <v>4</v>
      </c>
      <c r="C4" s="308" t="s">
        <v>213</v>
      </c>
      <c r="D4" s="309"/>
      <c r="E4" s="310"/>
      <c r="F4" s="311"/>
      <c r="G4" s="311"/>
      <c r="H4" s="188"/>
      <c r="I4" s="329"/>
      <c r="J4" s="315"/>
      <c r="K4" s="315"/>
      <c r="L4" s="315"/>
      <c r="M4" s="331">
        <v>0</v>
      </c>
      <c r="N4" s="331"/>
      <c r="O4" s="331"/>
      <c r="P4" s="331"/>
      <c r="Q4" s="331"/>
      <c r="R4" s="331"/>
      <c r="S4" s="331"/>
      <c r="T4" s="331"/>
      <c r="U4" s="331"/>
      <c r="V4" s="191"/>
    </row>
    <row r="5" spans="1:35" x14ac:dyDescent="0.15">
      <c r="C5" s="183"/>
      <c r="D5" s="183"/>
      <c r="H5" s="188"/>
      <c r="I5" s="323"/>
      <c r="J5" s="315"/>
      <c r="K5" s="315"/>
      <c r="L5" s="315"/>
      <c r="M5" s="330">
        <v>0</v>
      </c>
      <c r="N5" s="330"/>
      <c r="O5" s="330"/>
      <c r="P5" s="330"/>
      <c r="Q5" s="330"/>
      <c r="R5" s="330"/>
      <c r="S5" s="330"/>
      <c r="T5" s="330"/>
      <c r="U5" s="330"/>
      <c r="V5" s="191"/>
    </row>
    <row r="6" spans="1:35" x14ac:dyDescent="0.15">
      <c r="B6" s="192" t="s">
        <v>132</v>
      </c>
      <c r="C6" s="332"/>
      <c r="D6" s="332"/>
      <c r="E6" s="332"/>
      <c r="F6" s="332"/>
      <c r="G6" s="332"/>
      <c r="H6" s="188"/>
      <c r="I6" s="323"/>
      <c r="J6" s="315"/>
      <c r="K6" s="315"/>
      <c r="L6" s="315"/>
      <c r="M6" s="330">
        <f>Amount_Mtg_1+Amount_Mtg_2</f>
        <v>1199200</v>
      </c>
      <c r="N6" s="330"/>
      <c r="O6" s="330"/>
      <c r="P6" s="330"/>
      <c r="Q6" s="330"/>
      <c r="R6" s="330"/>
      <c r="S6" s="330"/>
      <c r="T6" s="330"/>
      <c r="U6" s="330"/>
    </row>
    <row r="7" spans="1:35" x14ac:dyDescent="0.15">
      <c r="A7" s="193"/>
      <c r="B7" s="192"/>
      <c r="C7" s="192"/>
      <c r="D7" s="192"/>
      <c r="E7" s="193"/>
      <c r="F7" s="193"/>
      <c r="G7" s="194"/>
      <c r="H7" s="194"/>
      <c r="I7" s="190"/>
      <c r="L7" s="195"/>
      <c r="M7" s="330">
        <f>+purchase_price+Acquisition_Costs+Loan_Points-Total_Beginning_Mortgages</f>
        <v>299800</v>
      </c>
      <c r="N7" s="330"/>
      <c r="O7" s="330"/>
      <c r="P7" s="330"/>
      <c r="Q7" s="330"/>
      <c r="R7" s="330"/>
      <c r="S7" s="330"/>
      <c r="T7" s="330"/>
      <c r="U7" s="330"/>
      <c r="V7" s="18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</row>
    <row r="8" spans="1:35" x14ac:dyDescent="0.15">
      <c r="B8" s="193" t="s">
        <v>5</v>
      </c>
      <c r="C8" s="287"/>
      <c r="D8" s="193"/>
      <c r="J8" s="185"/>
    </row>
    <row r="9" spans="1:35" x14ac:dyDescent="0.15">
      <c r="B9" s="193" t="s">
        <v>6</v>
      </c>
      <c r="C9" s="255">
        <v>1.5E-6</v>
      </c>
      <c r="D9" s="245"/>
      <c r="E9" s="246">
        <f>IF(C9=0,0,C9/C12)</f>
        <v>0.14999999999985</v>
      </c>
      <c r="G9" s="247"/>
      <c r="H9" s="196"/>
      <c r="J9" s="185"/>
      <c r="K9" s="270"/>
    </row>
    <row r="10" spans="1:35" x14ac:dyDescent="0.15">
      <c r="B10" s="193" t="s">
        <v>7</v>
      </c>
      <c r="C10" s="244">
        <v>8.4999999999999999E-6</v>
      </c>
      <c r="D10" s="248"/>
      <c r="E10" s="246">
        <f>IF(C10=0,0,C10/C12)</f>
        <v>0.8499999999991501</v>
      </c>
      <c r="G10" s="247"/>
      <c r="H10" s="196"/>
      <c r="I10" s="197"/>
      <c r="O10" s="198"/>
      <c r="P10" s="199"/>
      <c r="S10" s="200" t="s">
        <v>143</v>
      </c>
      <c r="T10" s="200"/>
      <c r="U10" s="182" t="s">
        <v>145</v>
      </c>
      <c r="V10" s="193"/>
    </row>
    <row r="11" spans="1:35" x14ac:dyDescent="0.15">
      <c r="B11" s="193" t="s">
        <v>8</v>
      </c>
      <c r="C11" s="244">
        <v>1.0000000000000001E-17</v>
      </c>
      <c r="D11" s="248"/>
      <c r="E11" s="246">
        <f>IF(C11=0,0,C11/C12)</f>
        <v>9.9999999999900013E-13</v>
      </c>
      <c r="H11" s="196"/>
      <c r="I11" s="197" t="s">
        <v>0</v>
      </c>
      <c r="J11" s="193"/>
      <c r="K11" s="200" t="s">
        <v>9</v>
      </c>
      <c r="M11" s="200" t="s">
        <v>133</v>
      </c>
      <c r="N11" s="201"/>
      <c r="O11" s="200" t="s">
        <v>134</v>
      </c>
      <c r="P11" s="199"/>
      <c r="Q11" s="198" t="s">
        <v>10</v>
      </c>
      <c r="R11" s="198"/>
      <c r="S11" s="200" t="s">
        <v>144</v>
      </c>
      <c r="T11" s="200"/>
      <c r="U11" s="182" t="s">
        <v>11</v>
      </c>
    </row>
    <row r="12" spans="1:35" x14ac:dyDescent="0.15">
      <c r="B12" s="193" t="s">
        <v>12</v>
      </c>
      <c r="C12" s="249">
        <f>SUM(C9:C11)</f>
        <v>1.0000000000009999E-5</v>
      </c>
      <c r="D12" s="196"/>
      <c r="E12" s="250">
        <v>1</v>
      </c>
      <c r="H12" s="196"/>
      <c r="I12" s="197" t="s">
        <v>13</v>
      </c>
      <c r="K12" s="251">
        <f>Amount_Mtg_1</f>
        <v>1199200</v>
      </c>
      <c r="M12" s="251">
        <f>Per_Pmt_Mtg_1</f>
        <v>6076.1702354320205</v>
      </c>
      <c r="O12" s="252">
        <f>Pmts_Year_Mtg_1</f>
        <v>12</v>
      </c>
      <c r="Q12" s="253">
        <f>Rate_Mtg_1</f>
        <v>4.4999999999999998E-2</v>
      </c>
      <c r="S12" s="254">
        <f>Amort_Period_Mtg_1</f>
        <v>30</v>
      </c>
      <c r="U12" s="254">
        <f>Loan_Term_Mtg_1</f>
        <v>30</v>
      </c>
    </row>
    <row r="13" spans="1:35" ht="12" customHeight="1" x14ac:dyDescent="0.15">
      <c r="I13" s="197" t="s">
        <v>14</v>
      </c>
      <c r="K13" s="251">
        <f>Amount_Mtg_2</f>
        <v>0</v>
      </c>
      <c r="M13" s="251">
        <f>Per_Pmt_Mtg_2</f>
        <v>0</v>
      </c>
      <c r="O13" s="252">
        <f>Pmts_Year_Mtg_2</f>
        <v>12</v>
      </c>
      <c r="Q13" s="253">
        <f>Rate_Mtg_2</f>
        <v>0</v>
      </c>
      <c r="S13" s="254">
        <f>Amort_Period_Mtg_2</f>
        <v>0</v>
      </c>
      <c r="U13" s="254">
        <f>Loan_Term_Mtg_2</f>
        <v>0</v>
      </c>
    </row>
    <row r="14" spans="1:35" ht="12" customHeight="1" x14ac:dyDescent="0.15">
      <c r="B14" s="192" t="s">
        <v>15</v>
      </c>
      <c r="C14" s="8">
        <f ca="1">TODAY()</f>
        <v>43173</v>
      </c>
      <c r="D14" s="203"/>
      <c r="E14" s="333">
        <f>+purchase_price + Acquisition_Costs</f>
        <v>1499000</v>
      </c>
      <c r="F14" s="334"/>
      <c r="G14" s="334"/>
    </row>
    <row r="15" spans="1:35" ht="12" customHeight="1" x14ac:dyDescent="0.15">
      <c r="E15" s="182" t="s">
        <v>0</v>
      </c>
      <c r="W15" s="240"/>
      <c r="X15" s="240"/>
      <c r="Y15" s="240"/>
      <c r="Z15" s="240"/>
    </row>
    <row r="16" spans="1:35" ht="12" customHeight="1" x14ac:dyDescent="0.15">
      <c r="B16" s="183"/>
      <c r="C16" s="183"/>
      <c r="D16" s="183"/>
      <c r="E16" s="201" t="s">
        <v>16</v>
      </c>
      <c r="F16" s="204"/>
      <c r="G16" s="205" t="s">
        <v>17</v>
      </c>
      <c r="H16" s="202"/>
      <c r="I16" s="183"/>
      <c r="J16" s="183"/>
      <c r="K16" s="183"/>
      <c r="L16" s="183"/>
      <c r="M16" s="183"/>
      <c r="O16" s="183"/>
      <c r="V16" s="183"/>
      <c r="W16" s="240"/>
      <c r="X16" s="240"/>
      <c r="Y16" s="240"/>
      <c r="Z16" s="240"/>
    </row>
    <row r="17" spans="1:26" ht="12" customHeight="1" x14ac:dyDescent="0.15">
      <c r="B17" s="206" t="s">
        <v>18</v>
      </c>
      <c r="C17" s="206"/>
      <c r="D17" s="206"/>
      <c r="E17" s="207" t="s">
        <v>19</v>
      </c>
      <c r="F17" s="208"/>
      <c r="G17" s="209" t="s">
        <v>20</v>
      </c>
      <c r="H17" s="206"/>
      <c r="I17" s="210"/>
      <c r="J17" s="210"/>
      <c r="K17" s="210"/>
      <c r="L17" s="210"/>
      <c r="M17" s="211" t="s">
        <v>21</v>
      </c>
      <c r="N17" s="211"/>
      <c r="O17" s="211"/>
      <c r="P17" s="211"/>
      <c r="Q17" s="211"/>
      <c r="R17" s="211"/>
      <c r="S17" s="211"/>
      <c r="T17" s="211"/>
      <c r="U17" s="211"/>
      <c r="W17" s="240"/>
      <c r="X17" s="240"/>
      <c r="Y17" s="240"/>
      <c r="Z17" s="240"/>
    </row>
    <row r="18" spans="1:26" ht="12" customHeight="1" x14ac:dyDescent="0.15">
      <c r="A18" s="212">
        <v>1</v>
      </c>
      <c r="B18" s="213" t="s">
        <v>22</v>
      </c>
      <c r="C18" s="214"/>
      <c r="D18" s="215"/>
      <c r="E18" s="268"/>
      <c r="F18" s="256"/>
      <c r="G18" s="257"/>
      <c r="H18" s="256"/>
      <c r="I18" s="258"/>
      <c r="J18" s="258"/>
      <c r="K18" s="16">
        <v>75000</v>
      </c>
      <c r="L18" s="191"/>
      <c r="M18" s="312" t="s">
        <v>0</v>
      </c>
      <c r="N18" s="313"/>
      <c r="O18" s="313"/>
      <c r="P18" s="313"/>
      <c r="Q18" s="313"/>
      <c r="R18" s="313"/>
      <c r="S18" s="313"/>
      <c r="T18" s="313"/>
      <c r="U18" s="313"/>
      <c r="V18" s="183"/>
      <c r="W18" s="240"/>
      <c r="X18" s="240"/>
      <c r="Y18" s="240"/>
      <c r="Z18" s="240"/>
    </row>
    <row r="19" spans="1:26" ht="12" customHeight="1" x14ac:dyDescent="0.15">
      <c r="A19" s="212">
        <v>2</v>
      </c>
      <c r="B19" s="192" t="s">
        <v>23</v>
      </c>
      <c r="C19" s="215"/>
      <c r="D19" s="212"/>
      <c r="E19" s="91"/>
      <c r="G19" s="337"/>
      <c r="H19" s="337"/>
      <c r="I19" s="337">
        <f>Vac_Yr_1</f>
        <v>0</v>
      </c>
      <c r="J19" s="337"/>
      <c r="K19" s="13">
        <v>0</v>
      </c>
      <c r="L19" s="191"/>
      <c r="M19" s="312"/>
      <c r="N19" s="313"/>
      <c r="O19" s="313"/>
      <c r="P19" s="313"/>
      <c r="Q19" s="313"/>
      <c r="R19" s="313"/>
      <c r="S19" s="313"/>
      <c r="T19" s="313"/>
      <c r="U19" s="313"/>
      <c r="V19" s="183"/>
      <c r="W19" s="240"/>
      <c r="X19" s="240"/>
      <c r="Y19" s="240"/>
      <c r="Z19" s="240"/>
    </row>
    <row r="20" spans="1:26" ht="12" customHeight="1" x14ac:dyDescent="0.15">
      <c r="A20" s="212">
        <v>3</v>
      </c>
      <c r="B20" s="213" t="s">
        <v>25</v>
      </c>
      <c r="C20" s="214"/>
      <c r="D20" s="215"/>
      <c r="E20" s="217"/>
      <c r="F20" s="216"/>
      <c r="G20" s="216"/>
      <c r="H20" s="216"/>
      <c r="I20" s="217"/>
      <c r="J20" s="217"/>
      <c r="K20" s="259">
        <f>+PRI_APOD-K19</f>
        <v>75000</v>
      </c>
      <c r="L20" s="191"/>
      <c r="M20" s="312"/>
      <c r="N20" s="313"/>
      <c r="O20" s="313"/>
      <c r="P20" s="313"/>
      <c r="Q20" s="313"/>
      <c r="R20" s="313"/>
      <c r="S20" s="313"/>
      <c r="T20" s="313"/>
      <c r="U20" s="313"/>
      <c r="V20" s="183"/>
      <c r="W20" s="243"/>
      <c r="X20" s="243"/>
      <c r="Y20" s="243"/>
      <c r="Z20" s="243"/>
    </row>
    <row r="21" spans="1:26" ht="12" customHeight="1" x14ac:dyDescent="0.15">
      <c r="A21" s="212">
        <v>4</v>
      </c>
      <c r="B21" s="192" t="s">
        <v>165</v>
      </c>
      <c r="C21" s="215"/>
      <c r="D21" s="215"/>
      <c r="E21" s="271"/>
      <c r="F21" s="216"/>
      <c r="G21" s="285"/>
      <c r="H21" s="216"/>
      <c r="I21" s="217"/>
      <c r="J21" s="217"/>
      <c r="K21" s="16">
        <f>IF(E21,E21*Size_of_Property,)</f>
        <v>0</v>
      </c>
      <c r="L21" s="191"/>
      <c r="M21" s="312"/>
      <c r="N21" s="312"/>
      <c r="O21" s="312"/>
      <c r="P21" s="312"/>
      <c r="Q21" s="312"/>
      <c r="R21" s="312"/>
      <c r="S21" s="312"/>
      <c r="T21" s="312"/>
      <c r="U21" s="312"/>
      <c r="V21" s="183"/>
      <c r="W21" s="232" t="s">
        <v>177</v>
      </c>
      <c r="X21" s="233"/>
      <c r="Y21" s="233"/>
      <c r="Z21" s="234"/>
    </row>
    <row r="22" spans="1:26" ht="12" customHeight="1" x14ac:dyDescent="0.15">
      <c r="A22" s="182">
        <v>5</v>
      </c>
      <c r="B22" s="213" t="s">
        <v>26</v>
      </c>
      <c r="C22" s="214"/>
      <c r="D22" s="215"/>
      <c r="E22" s="264"/>
      <c r="F22" s="256"/>
      <c r="G22" s="256"/>
      <c r="H22" s="256"/>
      <c r="I22" s="265"/>
      <c r="J22" s="218"/>
      <c r="K22" s="77">
        <f>+ERI_APOD+OTHER_APOD</f>
        <v>75000</v>
      </c>
      <c r="L22" s="191"/>
      <c r="M22" s="312"/>
      <c r="N22" s="313"/>
      <c r="O22" s="313"/>
      <c r="P22" s="313"/>
      <c r="Q22" s="313"/>
      <c r="R22" s="313"/>
      <c r="S22" s="313"/>
      <c r="T22" s="313"/>
      <c r="U22" s="313"/>
      <c r="V22" s="183"/>
      <c r="W22" s="235" t="s">
        <v>178</v>
      </c>
      <c r="X22" s="236"/>
      <c r="Y22" s="236"/>
      <c r="Z22" s="237"/>
    </row>
    <row r="23" spans="1:26" x14ac:dyDescent="0.15">
      <c r="B23" s="192" t="s">
        <v>27</v>
      </c>
      <c r="C23" s="215"/>
      <c r="D23" s="215"/>
      <c r="E23" s="264"/>
      <c r="F23" s="256"/>
      <c r="G23" s="256"/>
      <c r="H23" s="256"/>
      <c r="I23" s="266"/>
      <c r="J23" s="196"/>
      <c r="K23" s="218"/>
      <c r="M23" s="312"/>
      <c r="N23" s="313"/>
      <c r="O23" s="313"/>
      <c r="P23" s="313"/>
      <c r="Q23" s="313"/>
      <c r="R23" s="313"/>
      <c r="S23" s="313"/>
      <c r="T23" s="313"/>
      <c r="U23" s="313"/>
      <c r="V23" s="183"/>
      <c r="W23" s="238" t="s">
        <v>179</v>
      </c>
      <c r="X23" s="211"/>
      <c r="Y23" s="211"/>
      <c r="Z23" s="239"/>
    </row>
    <row r="24" spans="1:26" x14ac:dyDescent="0.15">
      <c r="A24" s="182">
        <v>6</v>
      </c>
      <c r="B24" s="319" t="s">
        <v>28</v>
      </c>
      <c r="C24" s="320"/>
      <c r="D24" s="215"/>
      <c r="E24" s="271"/>
      <c r="F24" s="216"/>
      <c r="G24" s="282"/>
      <c r="H24" s="216"/>
      <c r="I24" s="255">
        <v>3742</v>
      </c>
      <c r="J24" s="196"/>
      <c r="K24" s="218"/>
      <c r="M24" s="312"/>
      <c r="N24" s="313"/>
      <c r="O24" s="313"/>
      <c r="P24" s="313"/>
      <c r="Q24" s="313"/>
      <c r="R24" s="313"/>
      <c r="S24" s="313"/>
      <c r="T24" s="313"/>
      <c r="U24" s="313"/>
      <c r="V24" s="183"/>
      <c r="W24" s="240"/>
    </row>
    <row r="25" spans="1:26" x14ac:dyDescent="0.15">
      <c r="A25" s="182">
        <v>7</v>
      </c>
      <c r="B25" s="319" t="s">
        <v>29</v>
      </c>
      <c r="C25" s="320"/>
      <c r="D25" s="215"/>
      <c r="E25" s="271"/>
      <c r="F25" s="216"/>
      <c r="G25" s="282"/>
      <c r="H25" s="216"/>
      <c r="I25" s="255">
        <f t="shared" ref="I25:I46" si="0">IF(E25,E25*Size_of_Property,G25*GOI)</f>
        <v>0</v>
      </c>
      <c r="J25" s="196"/>
      <c r="K25" s="218"/>
      <c r="M25" s="312"/>
      <c r="N25" s="313"/>
      <c r="O25" s="313"/>
      <c r="P25" s="313"/>
      <c r="Q25" s="313"/>
      <c r="R25" s="313"/>
      <c r="S25" s="313"/>
      <c r="T25" s="313"/>
      <c r="U25" s="313"/>
      <c r="V25" s="183"/>
      <c r="W25" s="241">
        <v>0</v>
      </c>
    </row>
    <row r="26" spans="1:26" x14ac:dyDescent="0.15">
      <c r="A26" s="182">
        <v>8</v>
      </c>
      <c r="B26" s="319" t="s">
        <v>30</v>
      </c>
      <c r="C26" s="320"/>
      <c r="D26" s="215"/>
      <c r="E26" s="286"/>
      <c r="F26" s="216"/>
      <c r="G26" s="282"/>
      <c r="H26" s="216"/>
      <c r="I26" s="255">
        <v>1450</v>
      </c>
      <c r="J26" s="196"/>
      <c r="K26" s="218"/>
      <c r="M26" s="312"/>
      <c r="N26" s="313"/>
      <c r="O26" s="313"/>
      <c r="P26" s="313"/>
      <c r="Q26" s="313"/>
      <c r="R26" s="313"/>
      <c r="S26" s="313"/>
      <c r="T26" s="313"/>
      <c r="U26" s="313"/>
      <c r="V26" s="183"/>
    </row>
    <row r="27" spans="1:26" x14ac:dyDescent="0.15">
      <c r="A27" s="182">
        <v>9</v>
      </c>
      <c r="B27" s="319" t="s">
        <v>31</v>
      </c>
      <c r="C27" s="320"/>
      <c r="D27" s="215"/>
      <c r="E27" s="271"/>
      <c r="F27" s="216"/>
      <c r="G27" s="282"/>
      <c r="H27" s="216"/>
      <c r="I27" s="255"/>
      <c r="J27" s="196"/>
      <c r="K27" s="218"/>
      <c r="M27" s="312"/>
      <c r="N27" s="313"/>
      <c r="O27" s="313"/>
      <c r="P27" s="313"/>
      <c r="Q27" s="313"/>
      <c r="R27" s="313"/>
      <c r="S27" s="313"/>
      <c r="T27" s="313"/>
      <c r="U27" s="313"/>
      <c r="V27" s="183"/>
    </row>
    <row r="28" spans="1:26" x14ac:dyDescent="0.15">
      <c r="A28" s="182">
        <v>10</v>
      </c>
      <c r="B28" s="319" t="s">
        <v>32</v>
      </c>
      <c r="C28" s="319"/>
      <c r="D28" s="215"/>
      <c r="E28" s="271"/>
      <c r="F28" s="216"/>
      <c r="G28" s="282"/>
      <c r="H28" s="216"/>
      <c r="I28" s="255">
        <f t="shared" si="0"/>
        <v>0</v>
      </c>
      <c r="J28" s="196"/>
      <c r="K28" s="218"/>
      <c r="M28" s="312"/>
      <c r="N28" s="313"/>
      <c r="O28" s="313"/>
      <c r="P28" s="313"/>
      <c r="Q28" s="313"/>
      <c r="R28" s="313"/>
      <c r="S28" s="313"/>
      <c r="T28" s="313"/>
      <c r="U28" s="313"/>
      <c r="V28" s="183"/>
    </row>
    <row r="29" spans="1:26" x14ac:dyDescent="0.15">
      <c r="A29" s="182">
        <v>11</v>
      </c>
      <c r="B29" s="319" t="s">
        <v>33</v>
      </c>
      <c r="C29" s="319"/>
      <c r="D29" s="215"/>
      <c r="E29" s="271"/>
      <c r="F29" s="216"/>
      <c r="G29" s="282"/>
      <c r="H29" s="216"/>
      <c r="I29" s="255"/>
      <c r="J29" s="196"/>
      <c r="K29" s="218"/>
      <c r="M29" s="312"/>
      <c r="N29" s="313"/>
      <c r="O29" s="313"/>
      <c r="P29" s="313"/>
      <c r="Q29" s="313"/>
      <c r="R29" s="313"/>
      <c r="S29" s="313"/>
      <c r="T29" s="313"/>
      <c r="U29" s="313"/>
      <c r="V29" s="183"/>
    </row>
    <row r="30" spans="1:26" x14ac:dyDescent="0.15">
      <c r="A30" s="182">
        <v>12</v>
      </c>
      <c r="B30" s="323" t="s">
        <v>34</v>
      </c>
      <c r="C30" s="323"/>
      <c r="D30" s="215"/>
      <c r="E30" s="271"/>
      <c r="F30" s="216"/>
      <c r="G30" s="282"/>
      <c r="H30" s="216"/>
      <c r="I30" s="255">
        <f t="shared" si="0"/>
        <v>0</v>
      </c>
      <c r="J30" s="196"/>
      <c r="K30" s="218"/>
      <c r="M30" s="312"/>
      <c r="N30" s="313"/>
      <c r="O30" s="313"/>
      <c r="P30" s="313"/>
      <c r="Q30" s="313"/>
      <c r="R30" s="313"/>
      <c r="S30" s="313"/>
      <c r="T30" s="313"/>
      <c r="U30" s="313"/>
      <c r="V30" s="183"/>
    </row>
    <row r="31" spans="1:26" x14ac:dyDescent="0.15">
      <c r="A31" s="182">
        <v>13</v>
      </c>
      <c r="B31" s="319" t="s">
        <v>35</v>
      </c>
      <c r="C31" s="319"/>
      <c r="D31" s="215"/>
      <c r="E31" s="271"/>
      <c r="F31" s="216"/>
      <c r="G31" s="282"/>
      <c r="H31" s="216"/>
      <c r="I31" s="255">
        <v>4000</v>
      </c>
      <c r="J31" s="196"/>
      <c r="K31" s="218"/>
      <c r="M31" s="312"/>
      <c r="N31" s="313"/>
      <c r="O31" s="313"/>
      <c r="P31" s="313"/>
      <c r="Q31" s="313"/>
      <c r="R31" s="313"/>
      <c r="S31" s="313"/>
      <c r="T31" s="313"/>
      <c r="U31" s="313"/>
      <c r="V31" s="183"/>
    </row>
    <row r="32" spans="1:26" x14ac:dyDescent="0.15">
      <c r="A32" s="182">
        <v>14</v>
      </c>
      <c r="B32" s="319" t="s">
        <v>36</v>
      </c>
      <c r="C32" s="319"/>
      <c r="D32" s="215"/>
      <c r="E32" s="267"/>
      <c r="F32" s="218"/>
      <c r="G32" s="283"/>
      <c r="H32" s="216"/>
      <c r="I32" s="255">
        <v>3087</v>
      </c>
      <c r="J32" s="218"/>
      <c r="K32" s="218"/>
      <c r="M32" s="312"/>
      <c r="N32" s="313"/>
      <c r="O32" s="313"/>
      <c r="P32" s="313"/>
      <c r="Q32" s="313"/>
      <c r="R32" s="313"/>
      <c r="S32" s="313"/>
      <c r="T32" s="313"/>
      <c r="U32" s="313"/>
      <c r="V32" s="183"/>
    </row>
    <row r="33" spans="1:22" x14ac:dyDescent="0.15">
      <c r="A33" s="182">
        <v>15</v>
      </c>
      <c r="B33" s="324" t="s">
        <v>206</v>
      </c>
      <c r="C33" s="324"/>
      <c r="D33" s="216"/>
      <c r="E33" s="271"/>
      <c r="F33" s="216"/>
      <c r="G33" s="282"/>
      <c r="H33" s="216"/>
      <c r="I33" s="255">
        <v>250</v>
      </c>
      <c r="J33" s="196"/>
      <c r="K33" s="218"/>
      <c r="M33" s="312"/>
      <c r="N33" s="313"/>
      <c r="O33" s="313"/>
      <c r="P33" s="313"/>
      <c r="Q33" s="313"/>
      <c r="R33" s="313"/>
      <c r="S33" s="313"/>
      <c r="T33" s="313"/>
      <c r="U33" s="313"/>
      <c r="V33" s="183"/>
    </row>
    <row r="34" spans="1:22" x14ac:dyDescent="0.15">
      <c r="A34" s="182">
        <v>16</v>
      </c>
      <c r="B34" s="322"/>
      <c r="C34" s="322"/>
      <c r="D34" s="216"/>
      <c r="E34" s="271"/>
      <c r="F34" s="216"/>
      <c r="G34" s="282"/>
      <c r="H34" s="216"/>
      <c r="I34" s="255">
        <f t="shared" si="0"/>
        <v>0</v>
      </c>
      <c r="J34" s="196"/>
      <c r="K34" s="218"/>
      <c r="M34" s="312"/>
      <c r="N34" s="313"/>
      <c r="O34" s="313"/>
      <c r="P34" s="313"/>
      <c r="Q34" s="313"/>
      <c r="R34" s="313"/>
      <c r="S34" s="313"/>
      <c r="T34" s="313"/>
      <c r="U34" s="313"/>
      <c r="V34" s="183"/>
    </row>
    <row r="35" spans="1:22" x14ac:dyDescent="0.15">
      <c r="A35" s="182">
        <v>17</v>
      </c>
      <c r="B35" s="322"/>
      <c r="C35" s="322"/>
      <c r="D35" s="216"/>
      <c r="E35" s="271"/>
      <c r="F35" s="216"/>
      <c r="G35" s="282"/>
      <c r="H35" s="216"/>
      <c r="I35" s="255">
        <f t="shared" si="0"/>
        <v>0</v>
      </c>
      <c r="J35" s="196"/>
      <c r="K35" s="218"/>
      <c r="M35" s="312"/>
      <c r="N35" s="313"/>
      <c r="O35" s="313"/>
      <c r="P35" s="313"/>
      <c r="Q35" s="313"/>
      <c r="R35" s="313"/>
      <c r="S35" s="313"/>
      <c r="T35" s="313"/>
      <c r="U35" s="313"/>
      <c r="V35" s="183"/>
    </row>
    <row r="36" spans="1:22" x14ac:dyDescent="0.15">
      <c r="A36" s="182">
        <v>18</v>
      </c>
      <c r="B36" s="322"/>
      <c r="C36" s="322"/>
      <c r="D36" s="216"/>
      <c r="E36" s="271"/>
      <c r="F36" s="216"/>
      <c r="G36" s="282"/>
      <c r="H36" s="216"/>
      <c r="I36" s="255">
        <f t="shared" si="0"/>
        <v>0</v>
      </c>
      <c r="J36" s="196"/>
      <c r="K36" s="218"/>
      <c r="M36" s="312"/>
      <c r="N36" s="313"/>
      <c r="O36" s="313"/>
      <c r="P36" s="313"/>
      <c r="Q36" s="313"/>
      <c r="R36" s="313"/>
      <c r="S36" s="313"/>
      <c r="T36" s="313"/>
      <c r="U36" s="313"/>
      <c r="V36" s="183"/>
    </row>
    <row r="37" spans="1:22" x14ac:dyDescent="0.15">
      <c r="A37" s="182">
        <v>19</v>
      </c>
      <c r="B37" s="321" t="s">
        <v>37</v>
      </c>
      <c r="C37" s="321"/>
      <c r="D37" s="215"/>
      <c r="E37" s="271"/>
      <c r="F37" s="216"/>
      <c r="G37" s="282"/>
      <c r="H37" s="216"/>
      <c r="I37" s="255">
        <f t="shared" si="0"/>
        <v>0</v>
      </c>
      <c r="J37" s="196"/>
      <c r="K37" s="218"/>
      <c r="M37" s="312"/>
      <c r="N37" s="313"/>
      <c r="O37" s="313"/>
      <c r="P37" s="313"/>
      <c r="Q37" s="313"/>
      <c r="R37" s="313"/>
      <c r="S37" s="313"/>
      <c r="T37" s="313"/>
      <c r="U37" s="313"/>
      <c r="V37" s="183"/>
    </row>
    <row r="38" spans="1:22" x14ac:dyDescent="0.15">
      <c r="A38" s="182">
        <v>20</v>
      </c>
      <c r="B38" s="319" t="s">
        <v>38</v>
      </c>
      <c r="C38" s="319"/>
      <c r="D38" s="215"/>
      <c r="E38" s="271"/>
      <c r="F38" s="216"/>
      <c r="G38" s="282"/>
      <c r="H38" s="216"/>
      <c r="I38" s="255">
        <f t="shared" si="0"/>
        <v>0</v>
      </c>
      <c r="J38" s="196"/>
      <c r="K38" s="218"/>
      <c r="M38" s="312"/>
      <c r="N38" s="313"/>
      <c r="O38" s="313"/>
      <c r="P38" s="313"/>
      <c r="Q38" s="313"/>
      <c r="R38" s="313"/>
      <c r="S38" s="313"/>
      <c r="T38" s="313"/>
      <c r="U38" s="313"/>
      <c r="V38" s="183"/>
    </row>
    <row r="39" spans="1:22" x14ac:dyDescent="0.15">
      <c r="A39" s="182">
        <v>21</v>
      </c>
      <c r="B39" s="315" t="s">
        <v>39</v>
      </c>
      <c r="C39" s="315"/>
      <c r="D39" s="215"/>
      <c r="E39" s="271"/>
      <c r="F39" s="216"/>
      <c r="G39" s="282"/>
      <c r="H39" s="216"/>
      <c r="I39" s="255">
        <f t="shared" si="0"/>
        <v>0</v>
      </c>
      <c r="J39" s="196"/>
      <c r="K39" s="218"/>
      <c r="M39" s="312"/>
      <c r="N39" s="313"/>
      <c r="O39" s="313"/>
      <c r="P39" s="313"/>
      <c r="Q39" s="313"/>
      <c r="R39" s="313"/>
      <c r="S39" s="313"/>
      <c r="T39" s="313"/>
      <c r="U39" s="313"/>
      <c r="V39" s="183"/>
    </row>
    <row r="40" spans="1:22" x14ac:dyDescent="0.15">
      <c r="A40" s="182">
        <v>22</v>
      </c>
      <c r="B40" s="319" t="s">
        <v>40</v>
      </c>
      <c r="C40" s="319"/>
      <c r="D40" s="215"/>
      <c r="E40" s="271"/>
      <c r="F40" s="216"/>
      <c r="G40" s="282"/>
      <c r="H40" s="216"/>
      <c r="I40" s="255">
        <f t="shared" si="0"/>
        <v>0</v>
      </c>
      <c r="J40" s="196"/>
      <c r="K40" s="218"/>
      <c r="M40" s="312"/>
      <c r="N40" s="313"/>
      <c r="O40" s="313"/>
      <c r="P40" s="313"/>
      <c r="Q40" s="313"/>
      <c r="R40" s="313"/>
      <c r="S40" s="313"/>
      <c r="T40" s="313"/>
      <c r="U40" s="313"/>
      <c r="V40" s="183"/>
    </row>
    <row r="41" spans="1:22" x14ac:dyDescent="0.15">
      <c r="A41" s="182">
        <v>23</v>
      </c>
      <c r="B41" s="319" t="s">
        <v>41</v>
      </c>
      <c r="C41" s="319"/>
      <c r="D41" s="215"/>
      <c r="E41" s="267"/>
      <c r="F41" s="218"/>
      <c r="G41" s="283"/>
      <c r="H41" s="216"/>
      <c r="I41" s="255">
        <f>IF(E41,E41*Size_of_Property,G41*GOI)</f>
        <v>0</v>
      </c>
      <c r="J41" s="196"/>
      <c r="K41" s="218"/>
      <c r="M41" s="312"/>
      <c r="N41" s="313"/>
      <c r="O41" s="313"/>
      <c r="P41" s="313"/>
      <c r="Q41" s="313"/>
      <c r="R41" s="313"/>
      <c r="S41" s="313"/>
      <c r="T41" s="313"/>
      <c r="U41" s="313"/>
      <c r="V41" s="183"/>
    </row>
    <row r="42" spans="1:22" x14ac:dyDescent="0.15">
      <c r="A42" s="182">
        <v>24</v>
      </c>
      <c r="B42" s="324"/>
      <c r="C42" s="324"/>
      <c r="D42" s="216"/>
      <c r="E42" s="271"/>
      <c r="F42" s="216"/>
      <c r="G42" s="282"/>
      <c r="H42" s="216"/>
      <c r="I42" s="255">
        <f t="shared" si="0"/>
        <v>0</v>
      </c>
      <c r="J42" s="196"/>
      <c r="K42" s="218"/>
      <c r="M42" s="312"/>
      <c r="N42" s="313"/>
      <c r="O42" s="313"/>
      <c r="P42" s="313"/>
      <c r="Q42" s="313"/>
      <c r="R42" s="313"/>
      <c r="S42" s="313"/>
      <c r="T42" s="313"/>
      <c r="U42" s="313"/>
      <c r="V42" s="183"/>
    </row>
    <row r="43" spans="1:22" x14ac:dyDescent="0.15">
      <c r="A43" s="182">
        <v>25</v>
      </c>
      <c r="B43" s="322"/>
      <c r="C43" s="322"/>
      <c r="D43" s="216"/>
      <c r="E43" s="271"/>
      <c r="F43" s="216"/>
      <c r="G43" s="282"/>
      <c r="H43" s="216"/>
      <c r="I43" s="255">
        <f t="shared" si="0"/>
        <v>0</v>
      </c>
      <c r="J43" s="196"/>
      <c r="K43" s="218"/>
      <c r="M43" s="312"/>
      <c r="N43" s="313"/>
      <c r="O43" s="313"/>
      <c r="P43" s="313"/>
      <c r="Q43" s="313"/>
      <c r="R43" s="313"/>
      <c r="S43" s="313"/>
      <c r="T43" s="313"/>
      <c r="U43" s="313"/>
      <c r="V43" s="183"/>
    </row>
    <row r="44" spans="1:22" x14ac:dyDescent="0.15">
      <c r="A44" s="182">
        <v>26</v>
      </c>
      <c r="B44" s="322"/>
      <c r="C44" s="322"/>
      <c r="D44" s="216"/>
      <c r="E44" s="271"/>
      <c r="F44" s="216"/>
      <c r="G44" s="282"/>
      <c r="H44" s="216"/>
      <c r="I44" s="255">
        <f t="shared" si="0"/>
        <v>0</v>
      </c>
      <c r="J44" s="196"/>
      <c r="K44" s="218"/>
      <c r="M44" s="312"/>
      <c r="N44" s="313"/>
      <c r="O44" s="313"/>
      <c r="P44" s="313"/>
      <c r="Q44" s="313"/>
      <c r="R44" s="313"/>
      <c r="S44" s="313"/>
      <c r="T44" s="313"/>
      <c r="U44" s="313"/>
      <c r="V44" s="183"/>
    </row>
    <row r="45" spans="1:22" x14ac:dyDescent="0.15">
      <c r="A45" s="182">
        <v>27</v>
      </c>
      <c r="B45" s="322"/>
      <c r="C45" s="322"/>
      <c r="D45" s="216"/>
      <c r="E45" s="271"/>
      <c r="F45" s="216"/>
      <c r="G45" s="282"/>
      <c r="H45" s="216"/>
      <c r="I45" s="255">
        <f t="shared" si="0"/>
        <v>0</v>
      </c>
      <c r="J45" s="196"/>
      <c r="K45" s="218"/>
      <c r="M45" s="312"/>
      <c r="N45" s="313"/>
      <c r="O45" s="313"/>
      <c r="P45" s="313"/>
      <c r="Q45" s="313"/>
      <c r="R45" s="313"/>
      <c r="S45" s="313"/>
      <c r="T45" s="313"/>
      <c r="U45" s="313"/>
      <c r="V45" s="183"/>
    </row>
    <row r="46" spans="1:22" x14ac:dyDescent="0.15">
      <c r="A46" s="182">
        <v>28</v>
      </c>
      <c r="B46" s="322"/>
      <c r="C46" s="322"/>
      <c r="D46" s="216"/>
      <c r="E46" s="271"/>
      <c r="F46" s="216"/>
      <c r="G46" s="282"/>
      <c r="H46" s="216"/>
      <c r="I46" s="255">
        <f t="shared" si="0"/>
        <v>0</v>
      </c>
      <c r="J46" s="196"/>
      <c r="K46" s="218"/>
      <c r="M46" s="312"/>
      <c r="N46" s="313"/>
      <c r="O46" s="313"/>
      <c r="P46" s="313"/>
      <c r="Q46" s="313"/>
      <c r="R46" s="313"/>
      <c r="S46" s="313"/>
      <c r="T46" s="313"/>
      <c r="U46" s="313"/>
      <c r="V46" s="183"/>
    </row>
    <row r="47" spans="1:22" x14ac:dyDescent="0.15">
      <c r="A47" s="182">
        <v>29</v>
      </c>
      <c r="B47" s="321" t="s">
        <v>42</v>
      </c>
      <c r="C47" s="335"/>
      <c r="D47" s="215"/>
      <c r="E47" s="271"/>
      <c r="F47" s="216"/>
      <c r="G47" s="282"/>
      <c r="H47" s="216"/>
      <c r="I47" s="218"/>
      <c r="J47" s="218"/>
      <c r="K47" s="77">
        <f>IF(E47,E47*Size_of_Property,IF(G47,G47*GOI_APOD,SUM(I24:I46)))</f>
        <v>12529</v>
      </c>
      <c r="L47" s="191"/>
      <c r="M47" s="318"/>
      <c r="N47" s="318"/>
      <c r="O47" s="318"/>
      <c r="P47" s="318"/>
      <c r="Q47" s="318"/>
      <c r="R47" s="318"/>
      <c r="S47" s="318"/>
      <c r="T47" s="318"/>
      <c r="U47" s="318"/>
      <c r="V47" s="183"/>
    </row>
    <row r="48" spans="1:22" x14ac:dyDescent="0.15">
      <c r="A48" s="182">
        <v>30</v>
      </c>
      <c r="B48" s="336" t="s">
        <v>43</v>
      </c>
      <c r="C48" s="320"/>
      <c r="D48" s="219"/>
      <c r="E48" s="271"/>
      <c r="F48" s="216"/>
      <c r="G48" s="282"/>
      <c r="H48" s="216"/>
      <c r="I48" s="218"/>
      <c r="J48" s="218"/>
      <c r="K48" s="77">
        <f>IF(E48,E48*Size_of_Property,IF(G48,G48*GOI_APOD,K22-K47))</f>
        <v>62471</v>
      </c>
      <c r="L48" s="191"/>
      <c r="M48" s="312"/>
      <c r="N48" s="313"/>
      <c r="O48" s="313"/>
      <c r="P48" s="313"/>
      <c r="Q48" s="313"/>
      <c r="R48" s="313"/>
      <c r="S48" s="313"/>
      <c r="T48" s="313"/>
      <c r="U48" s="313"/>
      <c r="V48" s="183"/>
    </row>
    <row r="49" spans="1:35" x14ac:dyDescent="0.15">
      <c r="A49" s="182">
        <v>31</v>
      </c>
      <c r="B49" s="319" t="s">
        <v>44</v>
      </c>
      <c r="C49" s="320"/>
      <c r="D49" s="215"/>
      <c r="E49" s="269"/>
      <c r="F49" s="183"/>
      <c r="G49" s="284"/>
      <c r="I49" s="218"/>
      <c r="J49" s="218"/>
      <c r="K49" s="260">
        <f>ADS_Mtg_1+ADS_Mtg_2</f>
        <v>72914.042825184239</v>
      </c>
      <c r="L49" s="191"/>
      <c r="M49" s="312"/>
      <c r="N49" s="313"/>
      <c r="O49" s="313"/>
      <c r="P49" s="313"/>
      <c r="Q49" s="313"/>
      <c r="R49" s="313"/>
      <c r="S49" s="313"/>
      <c r="T49" s="313"/>
      <c r="U49" s="313"/>
      <c r="V49" s="183"/>
    </row>
    <row r="50" spans="1:35" x14ac:dyDescent="0.15">
      <c r="A50" s="182">
        <v>32</v>
      </c>
      <c r="B50" s="295" t="s">
        <v>198</v>
      </c>
      <c r="C50" s="228"/>
      <c r="D50" s="215"/>
      <c r="I50" s="218"/>
      <c r="J50" s="218"/>
      <c r="K50" s="296">
        <f>PartCash*(NOI_APOD-K49)</f>
        <v>0</v>
      </c>
      <c r="L50" s="191"/>
      <c r="M50" s="312"/>
      <c r="N50" s="313"/>
      <c r="O50" s="313"/>
      <c r="P50" s="313"/>
      <c r="Q50" s="313"/>
      <c r="R50" s="313"/>
      <c r="S50" s="313"/>
      <c r="T50" s="313"/>
      <c r="U50" s="313"/>
      <c r="V50" s="183"/>
    </row>
    <row r="51" spans="1:35" x14ac:dyDescent="0.15">
      <c r="A51" s="182">
        <v>33</v>
      </c>
      <c r="B51" s="319" t="s">
        <v>46</v>
      </c>
      <c r="C51" s="320"/>
      <c r="D51" s="215"/>
      <c r="E51" s="271"/>
      <c r="F51" s="216"/>
      <c r="G51" s="282"/>
      <c r="I51" s="218"/>
      <c r="J51" s="218"/>
      <c r="K51" s="77">
        <f>IF(E51,E51*Size_of_Property,IF(G51,G51*GOI_APOD,))</f>
        <v>0</v>
      </c>
      <c r="L51" s="191"/>
      <c r="M51" s="312"/>
      <c r="N51" s="313"/>
      <c r="O51" s="313"/>
      <c r="P51" s="313"/>
      <c r="Q51" s="313"/>
      <c r="R51" s="313"/>
      <c r="S51" s="313"/>
      <c r="T51" s="313"/>
      <c r="U51" s="313"/>
      <c r="V51" s="183"/>
    </row>
    <row r="52" spans="1:35" x14ac:dyDescent="0.15">
      <c r="A52" s="182">
        <v>34</v>
      </c>
      <c r="B52" s="319" t="s">
        <v>45</v>
      </c>
      <c r="C52" s="320"/>
      <c r="D52" s="215"/>
      <c r="E52" s="271"/>
      <c r="F52" s="216"/>
      <c r="G52" s="282"/>
      <c r="I52" s="218"/>
      <c r="J52" s="218"/>
      <c r="K52" s="77">
        <f>IF(E52,E52*Size_of_Property,IF(G52,G52*GOI_APOD,))</f>
        <v>0</v>
      </c>
      <c r="L52" s="191"/>
      <c r="M52" s="312"/>
      <c r="N52" s="313"/>
      <c r="O52" s="313"/>
      <c r="P52" s="313"/>
      <c r="Q52" s="313"/>
      <c r="R52" s="313"/>
      <c r="S52" s="313"/>
      <c r="T52" s="313"/>
      <c r="U52" s="313"/>
      <c r="V52" s="183"/>
    </row>
    <row r="53" spans="1:35" x14ac:dyDescent="0.15">
      <c r="A53" s="183">
        <v>35</v>
      </c>
      <c r="B53" s="325" t="s">
        <v>47</v>
      </c>
      <c r="C53" s="320"/>
      <c r="D53" s="220"/>
      <c r="E53" s="183"/>
      <c r="F53" s="183"/>
      <c r="G53" s="183"/>
      <c r="H53" s="183"/>
      <c r="I53" s="196"/>
      <c r="J53" s="196"/>
      <c r="K53" s="76">
        <f>+K48-K49-K50-K51-K52</f>
        <v>-10443.042825184239</v>
      </c>
      <c r="L53" s="191"/>
      <c r="M53" s="312"/>
      <c r="N53" s="313"/>
      <c r="O53" s="313"/>
      <c r="P53" s="313"/>
      <c r="Q53" s="313"/>
      <c r="R53" s="313"/>
      <c r="S53" s="313"/>
      <c r="T53" s="313"/>
      <c r="U53" s="31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</row>
    <row r="54" spans="1:35" ht="10.5" customHeight="1" x14ac:dyDescent="0.15">
      <c r="A54" s="183"/>
      <c r="B54" s="206"/>
      <c r="C54" s="206"/>
      <c r="D54" s="206"/>
      <c r="E54" s="210"/>
      <c r="F54" s="210"/>
      <c r="G54" s="210"/>
      <c r="H54" s="210"/>
      <c r="I54" s="210"/>
      <c r="J54" s="210"/>
      <c r="K54" s="221"/>
      <c r="L54" s="221"/>
      <c r="M54" s="210"/>
      <c r="N54" s="210"/>
      <c r="O54" s="210"/>
      <c r="P54" s="210"/>
      <c r="Q54" s="210"/>
      <c r="R54" s="210"/>
      <c r="S54" s="210"/>
      <c r="T54" s="210"/>
      <c r="U54" s="210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</row>
    <row r="55" spans="1:35" ht="20" customHeight="1" x14ac:dyDescent="0.2">
      <c r="A55" s="12" t="str">
        <f>"Authored by Gary G. Tharp, CCIM    Copyright"&amp;CHAR(169)&amp;" 2004 by the CCIM Institute           "</f>
        <v xml:space="preserve">Authored by Gary G. Tharp, CCIM    Copyright© 2004 by the CCIM Institute           </v>
      </c>
      <c r="B55" s="222"/>
      <c r="C55" s="223"/>
      <c r="D55" s="222"/>
      <c r="E55" s="222"/>
      <c r="F55" s="222"/>
      <c r="G55" s="222"/>
      <c r="H55" s="222"/>
      <c r="I55" s="222"/>
      <c r="J55" s="222"/>
      <c r="K55" s="314" t="s">
        <v>164</v>
      </c>
      <c r="L55" s="315"/>
      <c r="M55" s="316"/>
      <c r="N55" s="317"/>
      <c r="O55" s="317"/>
      <c r="P55" s="317"/>
      <c r="Q55" s="317"/>
      <c r="R55" s="317"/>
      <c r="S55" s="317"/>
      <c r="T55" s="317"/>
      <c r="U55" s="317"/>
      <c r="V55" s="183"/>
    </row>
    <row r="56" spans="1:35" ht="20" customHeight="1" x14ac:dyDescent="0.2">
      <c r="B56" s="326" t="s">
        <v>48</v>
      </c>
      <c r="C56" s="327"/>
      <c r="D56" s="327"/>
      <c r="E56" s="327"/>
      <c r="F56" s="327"/>
      <c r="G56" s="327"/>
      <c r="H56" s="327"/>
      <c r="I56" s="327"/>
      <c r="J56" s="224"/>
      <c r="K56" s="314" t="s">
        <v>49</v>
      </c>
      <c r="L56" s="315"/>
      <c r="M56" s="338"/>
      <c r="N56" s="338"/>
      <c r="O56" s="338"/>
      <c r="P56" s="338"/>
      <c r="Q56" s="338"/>
      <c r="R56" s="338"/>
      <c r="S56" s="338"/>
      <c r="T56" s="338"/>
      <c r="U56" s="338"/>
    </row>
    <row r="57" spans="1:35" x14ac:dyDescent="0.15">
      <c r="B57" s="225"/>
      <c r="C57" s="225"/>
      <c r="D57" s="225"/>
      <c r="E57" s="225"/>
      <c r="F57" s="225"/>
      <c r="G57" s="225"/>
      <c r="H57" s="225"/>
      <c r="I57" s="226"/>
      <c r="J57" s="226"/>
    </row>
  </sheetData>
  <sheetProtection formatCells="0" formatColumns="0" formatRows="0" insertColumns="0" insertRows="0" insertHyperlinks="0" deleteColumns="0" deleteRows="0" sort="0" autoFilter="0" pivotTables="0"/>
  <mergeCells count="89">
    <mergeCell ref="M56:U56"/>
    <mergeCell ref="K56:L56"/>
    <mergeCell ref="M51:U51"/>
    <mergeCell ref="M52:U52"/>
    <mergeCell ref="M53:U53"/>
    <mergeCell ref="B46:C46"/>
    <mergeCell ref="B47:C47"/>
    <mergeCell ref="B48:C48"/>
    <mergeCell ref="B49:C49"/>
    <mergeCell ref="I19:J19"/>
    <mergeCell ref="G19:H19"/>
    <mergeCell ref="B42:C42"/>
    <mergeCell ref="B43:C43"/>
    <mergeCell ref="B44:C44"/>
    <mergeCell ref="B45:C45"/>
    <mergeCell ref="B38:C38"/>
    <mergeCell ref="B39:C39"/>
    <mergeCell ref="B40:C40"/>
    <mergeCell ref="B41:C41"/>
    <mergeCell ref="B34:C34"/>
    <mergeCell ref="B35:C35"/>
    <mergeCell ref="B53:C53"/>
    <mergeCell ref="B56:I56"/>
    <mergeCell ref="J2:U2"/>
    <mergeCell ref="I4:L4"/>
    <mergeCell ref="I5:L5"/>
    <mergeCell ref="I6:L6"/>
    <mergeCell ref="M5:U5"/>
    <mergeCell ref="M3:U3"/>
    <mergeCell ref="M4:U4"/>
    <mergeCell ref="I3:L3"/>
    <mergeCell ref="C6:G6"/>
    <mergeCell ref="M6:U6"/>
    <mergeCell ref="M7:U7"/>
    <mergeCell ref="E14:G14"/>
    <mergeCell ref="B51:C51"/>
    <mergeCell ref="B52:C52"/>
    <mergeCell ref="B37:C37"/>
    <mergeCell ref="B36:C36"/>
    <mergeCell ref="B30:C30"/>
    <mergeCell ref="B31:C31"/>
    <mergeCell ref="B32:C32"/>
    <mergeCell ref="B33:C33"/>
    <mergeCell ref="B27:C27"/>
    <mergeCell ref="B28:C28"/>
    <mergeCell ref="B29:C29"/>
    <mergeCell ref="M24:U24"/>
    <mergeCell ref="M25:U25"/>
    <mergeCell ref="B24:C24"/>
    <mergeCell ref="B25:C25"/>
    <mergeCell ref="B26:C26"/>
    <mergeCell ref="M26:U26"/>
    <mergeCell ref="M48:U48"/>
    <mergeCell ref="M49:U49"/>
    <mergeCell ref="M35:U35"/>
    <mergeCell ref="M36:U36"/>
    <mergeCell ref="M37:U37"/>
    <mergeCell ref="M38:U38"/>
    <mergeCell ref="M47:U47"/>
    <mergeCell ref="M40:U40"/>
    <mergeCell ref="M41:U41"/>
    <mergeCell ref="M42:U42"/>
    <mergeCell ref="M39:U39"/>
    <mergeCell ref="M18:U18"/>
    <mergeCell ref="M19:U19"/>
    <mergeCell ref="M20:U20"/>
    <mergeCell ref="M21:U21"/>
    <mergeCell ref="M22:U22"/>
    <mergeCell ref="M23:U23"/>
    <mergeCell ref="K55:L55"/>
    <mergeCell ref="M55:U55"/>
    <mergeCell ref="M27:U27"/>
    <mergeCell ref="M28:U28"/>
    <mergeCell ref="M29:U29"/>
    <mergeCell ref="M30:U30"/>
    <mergeCell ref="M31:U31"/>
    <mergeCell ref="M32:U32"/>
    <mergeCell ref="M33:U33"/>
    <mergeCell ref="M34:U34"/>
    <mergeCell ref="M50:U50"/>
    <mergeCell ref="M43:U43"/>
    <mergeCell ref="M44:U44"/>
    <mergeCell ref="M45:U45"/>
    <mergeCell ref="M46:U46"/>
    <mergeCell ref="C1:G1"/>
    <mergeCell ref="C2:G2"/>
    <mergeCell ref="C3:G3"/>
    <mergeCell ref="C4:D4"/>
    <mergeCell ref="E4:G4"/>
  </mergeCells>
  <phoneticPr fontId="2" type="noConversion"/>
  <conditionalFormatting sqref="M55:U56 W15:Z15 C6:G6">
    <cfRule type="expression" dxfId="48" priority="1" stopIfTrue="1">
      <formula>+Highlighting_Flag</formula>
    </cfRule>
  </conditionalFormatting>
  <conditionalFormatting sqref="W22:W24">
    <cfRule type="cellIs" priority="2" stopIfTrue="1" operator="equal">
      <formula>0</formula>
    </cfRule>
  </conditionalFormatting>
  <conditionalFormatting sqref="E9:E12 K12:K13 M12:M13 O12:O13 Q12:Q13 S12:S13 U12:U13 E14:G14 W20:Z20">
    <cfRule type="expression" dxfId="47" priority="3" stopIfTrue="1">
      <formula>+Highlighting_Flag</formula>
    </cfRule>
  </conditionalFormatting>
  <conditionalFormatting sqref="X18:Z19">
    <cfRule type="cellIs" priority="4" stopIfTrue="1" operator="notEqual">
      <formula>0</formula>
    </cfRule>
    <cfRule type="expression" dxfId="46" priority="5" stopIfTrue="1">
      <formula>+Highlighting_Flag</formula>
    </cfRule>
  </conditionalFormatting>
  <conditionalFormatting sqref="W16:Z16">
    <cfRule type="expression" dxfId="45" priority="6" stopIfTrue="1">
      <formula>+Highlighting_Flag</formula>
    </cfRule>
  </conditionalFormatting>
  <conditionalFormatting sqref="W17:Z17">
    <cfRule type="expression" dxfId="44" priority="7" stopIfTrue="1">
      <formula>+Highlighting_Flag</formula>
    </cfRule>
  </conditionalFormatting>
  <conditionalFormatting sqref="W18:W19">
    <cfRule type="expression" dxfId="43" priority="8" stopIfTrue="1">
      <formula>+Highlighting_Flag</formula>
    </cfRule>
  </conditionalFormatting>
  <conditionalFormatting sqref="C1:G3">
    <cfRule type="expression" dxfId="42" priority="9" stopIfTrue="1">
      <formula>AND(ISTEXT(C1)=FALSE,Highlighting_Flag&gt;0)</formula>
    </cfRule>
  </conditionalFormatting>
  <conditionalFormatting sqref="C9:D11">
    <cfRule type="expression" dxfId="41" priority="10" stopIfTrue="1">
      <formula>AND(C9&lt;0.0001,Highlighting_Flag&gt;0)</formula>
    </cfRule>
  </conditionalFormatting>
  <conditionalFormatting sqref="C14">
    <cfRule type="expression" priority="11" stopIfTrue="1">
      <formula>+Highlighting_Flag</formula>
    </cfRule>
  </conditionalFormatting>
  <conditionalFormatting sqref="I42:I46 I33:I40 I24:I31 K50">
    <cfRule type="expression" dxfId="40" priority="12" stopIfTrue="1">
      <formula>AND(I24&lt;0.0001,Highlighting_Flag&gt;0)</formula>
    </cfRule>
  </conditionalFormatting>
  <conditionalFormatting sqref="K47:K48">
    <cfRule type="expression" dxfId="39" priority="13" stopIfTrue="1">
      <formula>AND($K$48&lt;0.001,Highlighting_Flag&gt;0)</formula>
    </cfRule>
  </conditionalFormatting>
  <conditionalFormatting sqref="K22 K51:K52">
    <cfRule type="expression" dxfId="38" priority="14" stopIfTrue="1">
      <formula>+AND(K22&lt;0.001,Highlighting_Flag&gt;0)</formula>
    </cfRule>
  </conditionalFormatting>
  <conditionalFormatting sqref="K53 K49 K20">
    <cfRule type="expression" dxfId="37" priority="15" stopIfTrue="1">
      <formula>+AND(K20&lt;0.001,Highlighting_Flag&gt;0)</formula>
    </cfRule>
  </conditionalFormatting>
  <conditionalFormatting sqref="K18 K21">
    <cfRule type="expression" dxfId="36" priority="16" stopIfTrue="1">
      <formula>+AND(K18&lt;0.001,Highlighting_Flag&gt;0)</formula>
    </cfRule>
  </conditionalFormatting>
  <conditionalFormatting sqref="I41 I32">
    <cfRule type="expression" dxfId="35" priority="17" stopIfTrue="1">
      <formula>AND(I32&lt;0.0001,Highlighting_Flag&gt;0)</formula>
    </cfRule>
  </conditionalFormatting>
  <conditionalFormatting sqref="C4:D4">
    <cfRule type="expression" dxfId="34" priority="18" stopIfTrue="1">
      <formula>AND(C4&lt;0.000000000000001,Highlighting_Flag&gt;0)</formula>
    </cfRule>
  </conditionalFormatting>
  <conditionalFormatting sqref="M3:U4">
    <cfRule type="expression" dxfId="33" priority="19" stopIfTrue="1">
      <formula>AND(Highlighting_Flag&gt;0,M3&lt;0.00000000001)</formula>
    </cfRule>
  </conditionalFormatting>
  <conditionalFormatting sqref="M5:U7">
    <cfRule type="expression" dxfId="32" priority="20" stopIfTrue="1">
      <formula>AND(Highlighting_Flag&gt;0,M5&lt;0.000001)</formula>
    </cfRule>
  </conditionalFormatting>
  <conditionalFormatting sqref="G19:K19">
    <cfRule type="expression" dxfId="31" priority="21" stopIfTrue="1">
      <formula>+AND(G19&lt;0.001,Highlighting_Flag&gt;0)</formula>
    </cfRule>
  </conditionalFormatting>
  <conditionalFormatting sqref="E18">
    <cfRule type="expression" dxfId="30" priority="22" stopIfTrue="1">
      <formula>AND(Highlighting_Flag&gt;0,E18&lt;0.0000001)</formula>
    </cfRule>
  </conditionalFormatting>
  <conditionalFormatting sqref="E21 G21 E24:E31 E33:E40 E42:E48 G51:G52 G24:G31 G33:G40 G42:G48 E51:E52">
    <cfRule type="expression" dxfId="29" priority="23" stopIfTrue="1">
      <formula>AND(Highlighting_Flag&gt;0,E21&lt;0.000001)</formula>
    </cfRule>
  </conditionalFormatting>
  <printOptions horizontalCentered="1" verticalCentered="1" gridLinesSet="0"/>
  <pageMargins left="0.36" right="0.41" top="0.77" bottom="0.51" header="0" footer="0"/>
  <pageSetup scale="92" orientation="portrait" horizontalDpi="4294967292" verticalDpi="300" r:id="rId1"/>
  <headerFooter alignWithMargins="0"/>
  <ignoredErrors>
    <ignoredError sqref="I2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5" r:id="rId4" name="Button 33">
              <controlPr defaultSize="0" print="0" autoFill="0" autoPict="0" macro="[0]!hilite">
                <anchor moveWithCells="1" sizeWithCells="1">
                  <from>
                    <xdr:col>22</xdr:col>
                    <xdr:colOff>152400</xdr:colOff>
                    <xdr:row>24</xdr:row>
                    <xdr:rowOff>101600</xdr:rowOff>
                  </from>
                  <to>
                    <xdr:col>24</xdr:col>
                    <xdr:colOff>546100</xdr:colOff>
                    <xdr:row>27</xdr:row>
                    <xdr:rowOff>38100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2" x14ac:dyDescent="0.15"/>
  <sheetData>
    <row r="1" spans="1:1" x14ac:dyDescent="0.15">
      <c r="A1" t="s">
        <v>207</v>
      </c>
    </row>
  </sheetData>
  <phoneticPr fontId="2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O171"/>
  <sheetViews>
    <sheetView showGridLines="0" showRowColHeaders="0" showZeros="0" topLeftCell="A12" zoomScale="165" zoomScaleNormal="125" zoomScalePageLayoutView="125" workbookViewId="0">
      <selection activeCell="B3" sqref="B3"/>
    </sheetView>
  </sheetViews>
  <sheetFormatPr baseColWidth="10" defaultColWidth="9" defaultRowHeight="12" x14ac:dyDescent="0.15"/>
  <cols>
    <col min="1" max="1" width="5" customWidth="1"/>
    <col min="2" max="2" width="18" customWidth="1"/>
    <col min="3" max="3" width="16.796875" customWidth="1"/>
    <col min="4" max="13" width="15.796875" customWidth="1"/>
  </cols>
  <sheetData>
    <row r="1" spans="1:13" ht="25" x14ac:dyDescent="0.25">
      <c r="A1" s="18"/>
      <c r="B1" s="18"/>
      <c r="C1" s="18"/>
      <c r="D1" s="18"/>
      <c r="E1" s="84" t="s">
        <v>50</v>
      </c>
      <c r="F1" s="18"/>
      <c r="G1" s="18"/>
      <c r="H1" s="2"/>
      <c r="I1" s="2" t="s">
        <v>51</v>
      </c>
    </row>
    <row r="2" spans="1:13" ht="25" x14ac:dyDescent="0.25">
      <c r="A2" s="18"/>
      <c r="B2" s="18"/>
      <c r="C2" s="18"/>
      <c r="D2" s="18"/>
      <c r="E2" s="44"/>
      <c r="F2" s="18"/>
      <c r="G2" s="18"/>
      <c r="H2" s="2"/>
      <c r="I2" s="277"/>
    </row>
    <row r="3" spans="1:13" x14ac:dyDescent="0.15">
      <c r="A3" s="18"/>
      <c r="B3" s="18" t="s">
        <v>52</v>
      </c>
      <c r="C3" s="343" t="str">
        <f>APOD!C1</f>
        <v>216 Chiming Bells Frisco</v>
      </c>
      <c r="D3" s="344"/>
      <c r="E3" s="90"/>
      <c r="G3" s="339">
        <f>IF(+purchase_price,purchase_price,)</f>
        <v>1499000</v>
      </c>
      <c r="H3" s="340"/>
      <c r="I3" s="123"/>
      <c r="J3" s="123"/>
      <c r="K3" s="124"/>
      <c r="L3" s="124"/>
      <c r="M3" s="124"/>
    </row>
    <row r="4" spans="1:13" x14ac:dyDescent="0.15">
      <c r="A4" s="18"/>
      <c r="B4" s="18" t="s">
        <v>53</v>
      </c>
      <c r="C4" s="345">
        <f>Prepared_for</f>
        <v>0</v>
      </c>
      <c r="D4" s="346"/>
      <c r="E4" s="90"/>
      <c r="G4" s="341">
        <f>IF(Acquisition_Costs,Acquisition_Costs,)</f>
        <v>0</v>
      </c>
      <c r="H4" s="342"/>
      <c r="I4" s="123"/>
      <c r="J4" s="123"/>
      <c r="K4" s="124"/>
      <c r="L4" s="124"/>
      <c r="M4" s="124"/>
    </row>
    <row r="5" spans="1:13" x14ac:dyDescent="0.15">
      <c r="A5" s="18"/>
      <c r="B5" s="18" t="s">
        <v>54</v>
      </c>
      <c r="C5" s="345">
        <f>Prepared_by</f>
        <v>0</v>
      </c>
      <c r="D5" s="346"/>
      <c r="E5" s="90"/>
      <c r="G5" s="341">
        <f>+Points_Mtg_1+Points_Mtg_2</f>
        <v>0</v>
      </c>
      <c r="H5" s="342"/>
      <c r="I5" s="123"/>
      <c r="J5" s="123"/>
      <c r="K5" s="124"/>
      <c r="L5" s="124"/>
      <c r="M5" s="124"/>
    </row>
    <row r="6" spans="1:13" ht="13" x14ac:dyDescent="0.15">
      <c r="A6" s="18"/>
      <c r="B6" s="18" t="s">
        <v>55</v>
      </c>
      <c r="C6" s="347">
        <f ca="1">TODAY()</f>
        <v>43173</v>
      </c>
      <c r="D6" s="346"/>
      <c r="E6" s="99"/>
      <c r="G6" s="341">
        <f>+Amount_Mtg_1+Amount_Mtg_2</f>
        <v>1199200</v>
      </c>
      <c r="H6" s="342"/>
      <c r="I6" s="123"/>
      <c r="J6" s="123"/>
      <c r="K6" s="124"/>
      <c r="L6" s="124"/>
      <c r="M6" s="124"/>
    </row>
    <row r="7" spans="1:13" x14ac:dyDescent="0.15">
      <c r="A7" s="18"/>
      <c r="B7" s="18"/>
      <c r="C7" s="10"/>
      <c r="D7" s="10"/>
      <c r="E7" s="90"/>
      <c r="G7" s="341">
        <f>+G3+G4+G5-G6</f>
        <v>299800</v>
      </c>
      <c r="H7" s="342"/>
      <c r="I7" s="123"/>
      <c r="J7" s="123"/>
      <c r="K7" s="124"/>
      <c r="L7" s="124"/>
      <c r="M7" s="124"/>
    </row>
    <row r="8" spans="1:13" x14ac:dyDescent="0.15">
      <c r="A8" s="18"/>
      <c r="B8" s="18"/>
      <c r="C8" s="18"/>
      <c r="D8" s="18"/>
      <c r="E8" s="18"/>
      <c r="F8" s="18"/>
      <c r="G8" s="18"/>
      <c r="H8" s="2"/>
      <c r="I8" s="2"/>
    </row>
    <row r="9" spans="1:13" ht="16" x14ac:dyDescent="0.2">
      <c r="A9" s="18"/>
      <c r="B9" s="45"/>
      <c r="C9" s="46" t="s">
        <v>56</v>
      </c>
      <c r="D9" s="47"/>
      <c r="E9" s="48"/>
      <c r="F9" s="49" t="s">
        <v>57</v>
      </c>
      <c r="G9" s="50"/>
      <c r="H9" s="2"/>
      <c r="I9" s="2"/>
      <c r="J9" s="240"/>
      <c r="K9" s="240"/>
      <c r="L9" s="240"/>
      <c r="M9" s="240"/>
    </row>
    <row r="10" spans="1:13" x14ac:dyDescent="0.15">
      <c r="A10" s="51"/>
      <c r="B10" s="52"/>
      <c r="C10" s="53" t="s">
        <v>58</v>
      </c>
      <c r="D10" s="52" t="s">
        <v>59</v>
      </c>
      <c r="E10" s="52"/>
      <c r="F10" s="51" t="s">
        <v>7</v>
      </c>
      <c r="G10" s="54" t="s">
        <v>8</v>
      </c>
      <c r="H10" s="55"/>
      <c r="I10" s="55"/>
      <c r="J10" s="240"/>
      <c r="K10" s="240"/>
      <c r="L10" s="240"/>
      <c r="M10" s="240"/>
    </row>
    <row r="11" spans="1:13" x14ac:dyDescent="0.15">
      <c r="A11" s="18"/>
      <c r="B11" s="56"/>
      <c r="C11" s="45"/>
      <c r="D11" s="56"/>
      <c r="E11" s="56"/>
      <c r="F11" s="48"/>
      <c r="G11" s="56"/>
      <c r="H11" s="2"/>
      <c r="I11" s="2"/>
      <c r="J11" s="240"/>
      <c r="K11" s="240"/>
      <c r="L11" s="240"/>
      <c r="M11" s="240"/>
    </row>
    <row r="12" spans="1:13" x14ac:dyDescent="0.15">
      <c r="A12" s="18"/>
      <c r="B12" s="125" t="s">
        <v>60</v>
      </c>
      <c r="C12" s="274">
        <v>1199200</v>
      </c>
      <c r="D12" s="274"/>
      <c r="E12" s="57" t="s">
        <v>61</v>
      </c>
      <c r="F12" s="261">
        <f>Adjusted_Basis*Percent_Improvements</f>
        <v>1274149.999998726</v>
      </c>
      <c r="G12" s="17"/>
      <c r="H12" s="2"/>
      <c r="I12" s="2"/>
      <c r="J12" s="240"/>
      <c r="K12" s="240"/>
      <c r="L12" s="240"/>
      <c r="M12" s="240"/>
    </row>
    <row r="13" spans="1:13" x14ac:dyDescent="0.15">
      <c r="A13" s="18"/>
      <c r="B13" s="57" t="s">
        <v>62</v>
      </c>
      <c r="C13" s="275">
        <v>4.4999999999999998E-2</v>
      </c>
      <c r="D13" s="275"/>
      <c r="E13" s="57" t="s">
        <v>63</v>
      </c>
      <c r="F13" s="16" t="s">
        <v>64</v>
      </c>
      <c r="G13" s="17"/>
      <c r="H13" s="2"/>
      <c r="I13" s="2"/>
      <c r="J13" s="240"/>
      <c r="K13" s="240"/>
      <c r="L13" s="240"/>
      <c r="M13" s="240"/>
    </row>
    <row r="14" spans="1:13" x14ac:dyDescent="0.15">
      <c r="A14" s="18"/>
      <c r="B14" s="57" t="s">
        <v>65</v>
      </c>
      <c r="C14" s="273">
        <v>30</v>
      </c>
      <c r="D14" s="273"/>
      <c r="E14" s="57" t="s">
        <v>66</v>
      </c>
      <c r="F14" s="261">
        <v>29</v>
      </c>
      <c r="G14" s="17"/>
      <c r="H14" s="2"/>
      <c r="I14" s="155"/>
      <c r="J14" s="242"/>
      <c r="K14" s="242"/>
      <c r="L14" s="242"/>
      <c r="M14" s="243"/>
    </row>
    <row r="15" spans="1:13" x14ac:dyDescent="0.15">
      <c r="A15" s="18"/>
      <c r="B15" s="126" t="s">
        <v>67</v>
      </c>
      <c r="C15" s="272">
        <v>30</v>
      </c>
      <c r="D15" s="272">
        <f>Amort_Period_Mtg_2</f>
        <v>0</v>
      </c>
      <c r="E15" s="57" t="s">
        <v>68</v>
      </c>
      <c r="F15" s="132">
        <v>38353</v>
      </c>
      <c r="G15" s="17"/>
      <c r="H15" s="2"/>
      <c r="I15" s="2"/>
    </row>
    <row r="16" spans="1:13" x14ac:dyDescent="0.15">
      <c r="A16" s="18"/>
      <c r="B16" s="57" t="s">
        <v>69</v>
      </c>
      <c r="C16" s="128">
        <v>12</v>
      </c>
      <c r="D16" s="129">
        <f>12</f>
        <v>12</v>
      </c>
      <c r="E16" s="57" t="s">
        <v>142</v>
      </c>
      <c r="F16" s="262">
        <f>+In_Service_date+(365*10)</f>
        <v>42003</v>
      </c>
      <c r="G16" s="68"/>
      <c r="H16" s="67"/>
      <c r="I16" s="2"/>
    </row>
    <row r="17" spans="1:15" x14ac:dyDescent="0.15">
      <c r="A17" s="18"/>
      <c r="B17" s="57" t="s">
        <v>71</v>
      </c>
      <c r="C17" s="276">
        <f>IF((C14&lt;0.001),0,+C12/((1-((1+(IF(C13=0,0.0000000001,C13)/C16))^(-(C14*C16))))/(IF(C13=0,0.0000000001,C13)/C16)))</f>
        <v>6076.1702354320205</v>
      </c>
      <c r="D17" s="276">
        <f>IF((D14&lt;0.001),0,+D12/((1-((1+(IF(D13=0,0.0000000001,D13)/D16))^(-(D14*D16))))/(IF(D13=0,0.0000000001,D13)/D16)))</f>
        <v>0</v>
      </c>
      <c r="E17" s="138" t="s">
        <v>70</v>
      </c>
      <c r="F17" s="25"/>
      <c r="G17" s="25"/>
      <c r="H17" s="2"/>
      <c r="I17" s="2"/>
    </row>
    <row r="18" spans="1:15" x14ac:dyDescent="0.15">
      <c r="A18" s="18"/>
      <c r="B18" s="58" t="s">
        <v>72</v>
      </c>
      <c r="C18" s="130">
        <f>C16*C17</f>
        <v>72914.042825184239</v>
      </c>
      <c r="D18" s="130">
        <f>D16*D17</f>
        <v>0</v>
      </c>
      <c r="E18" s="59" t="s">
        <v>73</v>
      </c>
      <c r="F18" s="67"/>
      <c r="G18" s="68"/>
      <c r="H18" s="2"/>
      <c r="I18" s="2"/>
    </row>
    <row r="19" spans="1:15" x14ac:dyDescent="0.15">
      <c r="A19" s="18"/>
      <c r="B19" s="127" t="s">
        <v>182</v>
      </c>
      <c r="C19" s="25"/>
      <c r="D19" s="25"/>
      <c r="E19" s="60" t="s">
        <v>74</v>
      </c>
      <c r="F19" s="16"/>
      <c r="G19" s="17"/>
      <c r="H19" s="2"/>
      <c r="I19" s="2"/>
    </row>
    <row r="20" spans="1:15" x14ac:dyDescent="0.15">
      <c r="A20" s="18"/>
      <c r="B20" s="18"/>
      <c r="C20" s="18"/>
      <c r="D20" s="18"/>
      <c r="E20" s="18"/>
      <c r="F20" s="18"/>
      <c r="G20" s="18"/>
      <c r="H20" s="2"/>
      <c r="I20" s="2"/>
    </row>
    <row r="21" spans="1:15" x14ac:dyDescent="0.15">
      <c r="A21" s="18"/>
      <c r="B21" s="18"/>
      <c r="C21" s="18"/>
      <c r="D21" s="18"/>
      <c r="E21" s="18"/>
      <c r="F21" s="18"/>
      <c r="G21" s="18"/>
      <c r="H21" s="2"/>
      <c r="I21" s="2"/>
      <c r="J21" s="2"/>
      <c r="K21" s="2"/>
      <c r="L21" s="2"/>
      <c r="M21" s="2"/>
      <c r="N21" s="2"/>
    </row>
    <row r="22" spans="1:15" ht="15.75" customHeight="1" x14ac:dyDescent="0.2">
      <c r="A22" s="18"/>
      <c r="B22" s="48"/>
      <c r="C22" s="48"/>
      <c r="D22" s="48"/>
      <c r="E22" s="61" t="s">
        <v>75</v>
      </c>
      <c r="F22" s="48"/>
      <c r="G22" s="48"/>
      <c r="H22" s="62"/>
      <c r="I22" s="62"/>
      <c r="J22" s="62"/>
      <c r="K22" s="62"/>
      <c r="L22" s="62"/>
      <c r="M22" s="62"/>
      <c r="N22" s="62"/>
    </row>
    <row r="23" spans="1:15" x14ac:dyDescent="0.15">
      <c r="A23" s="18"/>
      <c r="B23" s="18"/>
      <c r="C23" s="63" t="s">
        <v>76</v>
      </c>
      <c r="D23" s="139">
        <v>1</v>
      </c>
      <c r="E23" s="139">
        <f t="shared" ref="E23:M23" si="0">+D23+1</f>
        <v>2</v>
      </c>
      <c r="F23" s="139">
        <f t="shared" si="0"/>
        <v>3</v>
      </c>
      <c r="G23" s="139">
        <f t="shared" si="0"/>
        <v>4</v>
      </c>
      <c r="H23" s="149">
        <f t="shared" si="0"/>
        <v>5</v>
      </c>
      <c r="I23" s="149">
        <f t="shared" si="0"/>
        <v>6</v>
      </c>
      <c r="J23" s="149">
        <f t="shared" si="0"/>
        <v>7</v>
      </c>
      <c r="K23" s="149">
        <f t="shared" si="0"/>
        <v>8</v>
      </c>
      <c r="L23" s="149">
        <f t="shared" si="0"/>
        <v>9</v>
      </c>
      <c r="M23" s="149">
        <f t="shared" si="0"/>
        <v>10</v>
      </c>
      <c r="N23" s="149" t="s">
        <v>157</v>
      </c>
    </row>
    <row r="24" spans="1:15" x14ac:dyDescent="0.15">
      <c r="A24" s="18"/>
      <c r="B24" s="10"/>
      <c r="C24" s="63"/>
      <c r="D24" s="69"/>
      <c r="E24" s="70"/>
      <c r="F24" s="70"/>
      <c r="G24" s="70"/>
      <c r="H24" s="71"/>
      <c r="I24" s="71"/>
      <c r="J24" s="71"/>
      <c r="K24" s="71"/>
      <c r="L24" s="71"/>
      <c r="M24" s="71"/>
      <c r="N24" s="71"/>
    </row>
    <row r="25" spans="1:15" ht="13" x14ac:dyDescent="0.15">
      <c r="A25" s="92">
        <v>1</v>
      </c>
      <c r="B25" s="350" t="s">
        <v>77</v>
      </c>
      <c r="C25" s="351"/>
      <c r="D25" s="26">
        <f>PRI_APOD*((13-Month_Placed_in_Svc)/12)</f>
        <v>75000</v>
      </c>
      <c r="E25" s="26">
        <f>PRI_APOD*(1+IncEscal_2)</f>
        <v>77250</v>
      </c>
      <c r="F25" s="26">
        <f>+E25*(1+IncEscal_3)</f>
        <v>79567.5</v>
      </c>
      <c r="G25" s="26">
        <f>+F25*(1+IncEscal_4)</f>
        <v>81954.525000000009</v>
      </c>
      <c r="H25" s="26">
        <f>+G25*(1+IncEscal_5)</f>
        <v>84413.16075000001</v>
      </c>
      <c r="I25" s="26">
        <f>+H25*(1+IncEscal_6)</f>
        <v>86945.555572500016</v>
      </c>
      <c r="J25" s="26">
        <f>+I25*(1+IncEscal_7)</f>
        <v>89553.922239675012</v>
      </c>
      <c r="K25" s="26">
        <f>+J25*(1+IncEscal_8)</f>
        <v>92240.539906865262</v>
      </c>
      <c r="L25" s="26">
        <f>+K25*(1+IncEscal_9)</f>
        <v>95007.756104071217</v>
      </c>
      <c r="M25" s="26">
        <f>+L25*(1+IncEscal_10)</f>
        <v>97857.988787193361</v>
      </c>
      <c r="N25" s="26">
        <f>+M25*(1+IncEscal_11)</f>
        <v>100793.72845080917</v>
      </c>
    </row>
    <row r="26" spans="1:15" ht="13" x14ac:dyDescent="0.15">
      <c r="A26" s="92">
        <v>2</v>
      </c>
      <c r="B26" s="350" t="s">
        <v>147</v>
      </c>
      <c r="C26" s="351"/>
      <c r="D26" s="26">
        <f>Vac_Yr_1*(D25)</f>
        <v>0</v>
      </c>
      <c r="E26" s="26">
        <f>Vac_Yr_2*(E25)</f>
        <v>0</v>
      </c>
      <c r="F26" s="26">
        <f>Vac_Yr_3*(F25)</f>
        <v>0</v>
      </c>
      <c r="G26" s="26">
        <f>Vac_Yr_4*(G25)</f>
        <v>0</v>
      </c>
      <c r="H26" s="26">
        <f>Vac_Yr_5*(H25)</f>
        <v>0</v>
      </c>
      <c r="I26" s="26">
        <f>Vac_Yr_6*(I25)</f>
        <v>0</v>
      </c>
      <c r="J26" s="26">
        <f>Vac_Yr_7*(J25)</f>
        <v>0</v>
      </c>
      <c r="K26" s="26">
        <f>Vac_Yr_8*(K25)</f>
        <v>0</v>
      </c>
      <c r="L26" s="26">
        <f>Vac_Yr_9*(L25)</f>
        <v>0</v>
      </c>
      <c r="M26" s="26">
        <f>Vac_Yr_10*(M25)</f>
        <v>0</v>
      </c>
      <c r="N26" s="26">
        <f>Vac_Yr_11*N25</f>
        <v>0</v>
      </c>
    </row>
    <row r="27" spans="1:15" ht="13" x14ac:dyDescent="0.15">
      <c r="A27" s="92">
        <v>3</v>
      </c>
      <c r="B27" s="350" t="s">
        <v>148</v>
      </c>
      <c r="C27" s="351"/>
      <c r="D27" s="26">
        <f>+D25-D26</f>
        <v>75000</v>
      </c>
      <c r="E27" s="26">
        <f t="shared" ref="E27:N27" si="1">+E25-E26</f>
        <v>77250</v>
      </c>
      <c r="F27" s="26">
        <f t="shared" si="1"/>
        <v>79567.5</v>
      </c>
      <c r="G27" s="26">
        <f t="shared" si="1"/>
        <v>81954.525000000009</v>
      </c>
      <c r="H27" s="26">
        <f t="shared" si="1"/>
        <v>84413.16075000001</v>
      </c>
      <c r="I27" s="26">
        <f t="shared" si="1"/>
        <v>86945.555572500016</v>
      </c>
      <c r="J27" s="26">
        <f t="shared" si="1"/>
        <v>89553.922239675012</v>
      </c>
      <c r="K27" s="26">
        <f t="shared" si="1"/>
        <v>92240.539906865262</v>
      </c>
      <c r="L27" s="26">
        <f t="shared" si="1"/>
        <v>95007.756104071217</v>
      </c>
      <c r="M27" s="26">
        <f t="shared" si="1"/>
        <v>97857.988787193361</v>
      </c>
      <c r="N27" s="26">
        <f t="shared" si="1"/>
        <v>100793.72845080917</v>
      </c>
    </row>
    <row r="28" spans="1:15" ht="13" x14ac:dyDescent="0.15">
      <c r="A28" s="92">
        <v>4</v>
      </c>
      <c r="B28" s="352" t="s">
        <v>166</v>
      </c>
      <c r="C28" s="352"/>
      <c r="D28" s="26">
        <f>OTHER_APOD*((13-Month_Placed_in_Svc)/12)</f>
        <v>0</v>
      </c>
      <c r="E28" s="26">
        <f>OTHER_APOD*(1+Assumptions!D9)</f>
        <v>0</v>
      </c>
      <c r="F28" s="26">
        <f>E28*(1+Assumptions!E9)</f>
        <v>0</v>
      </c>
      <c r="G28" s="26">
        <f>F28*(1+Assumptions!F9)</f>
        <v>0</v>
      </c>
      <c r="H28" s="26">
        <f>G28*(1+Assumptions!G9)</f>
        <v>0</v>
      </c>
      <c r="I28" s="26">
        <f>H28*(1+Assumptions!H9)</f>
        <v>0</v>
      </c>
      <c r="J28" s="26">
        <f>I28*(1+Assumptions!I9)</f>
        <v>0</v>
      </c>
      <c r="K28" s="26">
        <f>J28*(1+Assumptions!J9)</f>
        <v>0</v>
      </c>
      <c r="L28" s="26">
        <f>K28*(1+Assumptions!K9)</f>
        <v>0</v>
      </c>
      <c r="M28" s="26">
        <f>L28*(1+Assumptions!L9)</f>
        <v>0</v>
      </c>
      <c r="N28" s="26">
        <f>M28*(1+Assumptions!M9)</f>
        <v>0</v>
      </c>
    </row>
    <row r="29" spans="1:15" ht="13" x14ac:dyDescent="0.15">
      <c r="A29" s="92">
        <v>5</v>
      </c>
      <c r="B29" s="350" t="s">
        <v>149</v>
      </c>
      <c r="C29" s="351"/>
      <c r="D29" s="26">
        <f>+D27+D28</f>
        <v>75000</v>
      </c>
      <c r="E29" s="26">
        <f>+E27+E28</f>
        <v>77250</v>
      </c>
      <c r="F29" s="26">
        <f>+F27+F28</f>
        <v>79567.5</v>
      </c>
      <c r="G29" s="26">
        <f>+G27+G28</f>
        <v>81954.525000000009</v>
      </c>
      <c r="H29" s="26">
        <f>+H27+H28</f>
        <v>84413.16075000001</v>
      </c>
      <c r="I29" s="26">
        <f t="shared" ref="I29:N29" si="2">+I27+I28</f>
        <v>86945.555572500016</v>
      </c>
      <c r="J29" s="26">
        <f t="shared" si="2"/>
        <v>89553.922239675012</v>
      </c>
      <c r="K29" s="26">
        <f t="shared" si="2"/>
        <v>92240.539906865262</v>
      </c>
      <c r="L29" s="26">
        <f t="shared" si="2"/>
        <v>95007.756104071217</v>
      </c>
      <c r="M29" s="26">
        <f t="shared" si="2"/>
        <v>97857.988787193361</v>
      </c>
      <c r="N29" s="26">
        <f t="shared" si="2"/>
        <v>100793.72845080917</v>
      </c>
    </row>
    <row r="30" spans="1:15" ht="13" x14ac:dyDescent="0.15">
      <c r="A30" s="92">
        <v>6</v>
      </c>
      <c r="B30" s="350" t="s">
        <v>150</v>
      </c>
      <c r="C30" s="351"/>
      <c r="D30" s="26">
        <f>OP_EXP_APOD*((13-Month_Placed_in_Svc)/12)</f>
        <v>12529</v>
      </c>
      <c r="E30" s="26">
        <f>OP_EXP_APOD*(1+ExpEscal_2)</f>
        <v>12904.87</v>
      </c>
      <c r="F30" s="26">
        <f>+E30*(1+ExpEscal_3)</f>
        <v>13292.016100000001</v>
      </c>
      <c r="G30" s="26">
        <f>+F30*(1+ExpEscal_4)</f>
        <v>13690.776583000001</v>
      </c>
      <c r="H30" s="26">
        <f>+G30*(1+ExpEscal_5)</f>
        <v>14101.499880490001</v>
      </c>
      <c r="I30" s="26">
        <f>+H30*(1+ExpEscal_6)</f>
        <v>14524.544876904702</v>
      </c>
      <c r="J30" s="26">
        <f>+I30*(1+ExpEscal_7)</f>
        <v>14960.281223211843</v>
      </c>
      <c r="K30" s="26">
        <f>+J30*(1+ExpEscal_8)</f>
        <v>15409.089659908199</v>
      </c>
      <c r="L30" s="26">
        <f>+K30*(1+ExpEscal_9)</f>
        <v>15871.362349705445</v>
      </c>
      <c r="M30" s="26">
        <f>+L30*(1+ExpEscal_10)</f>
        <v>16347.50322019661</v>
      </c>
      <c r="N30" s="26">
        <f>+M30*(1+ExpEscal_11)</f>
        <v>16837.928316802507</v>
      </c>
    </row>
    <row r="31" spans="1:15" ht="13" x14ac:dyDescent="0.15">
      <c r="A31" s="92">
        <v>7</v>
      </c>
      <c r="B31" s="350" t="s">
        <v>151</v>
      </c>
      <c r="C31" s="351"/>
      <c r="D31" s="103">
        <f>+D29-D30</f>
        <v>62471</v>
      </c>
      <c r="E31" s="26">
        <f>+E29-E30</f>
        <v>64345.13</v>
      </c>
      <c r="F31" s="26">
        <f>+F29-F30</f>
        <v>66275.483899999992</v>
      </c>
      <c r="G31" s="26">
        <f>+G29-G30</f>
        <v>68263.74841700001</v>
      </c>
      <c r="H31" s="26">
        <f>+H29-H30</f>
        <v>70311.660869510015</v>
      </c>
      <c r="I31" s="26">
        <f t="shared" ref="I31:N31" si="3">+I29-I30</f>
        <v>72421.010695595309</v>
      </c>
      <c r="J31" s="26">
        <f t="shared" si="3"/>
        <v>74593.641016463167</v>
      </c>
      <c r="K31" s="26">
        <f t="shared" si="3"/>
        <v>76831.450246957058</v>
      </c>
      <c r="L31" s="26">
        <f t="shared" si="3"/>
        <v>79136.393754365767</v>
      </c>
      <c r="M31" s="26">
        <f t="shared" si="3"/>
        <v>81510.485566996751</v>
      </c>
      <c r="N31" s="163">
        <f t="shared" si="3"/>
        <v>83955.800134006655</v>
      </c>
    </row>
    <row r="32" spans="1:15" ht="13" x14ac:dyDescent="0.15">
      <c r="A32" s="92">
        <v>8</v>
      </c>
      <c r="B32" s="350" t="s">
        <v>152</v>
      </c>
      <c r="C32" s="351"/>
      <c r="D32" s="150">
        <f>(ADS_Mtg_1-(Amount_Mtg_1+FV(Rate_Mtg_1/Pmts_Year_Mtg_1,Pmts_Year_Mtg_1,-Per_Pmt_Mtg_1,Amount_Mtg_1)))*((13-Month_Placed_in_Svc)/12)</f>
        <v>53568.228338503221</v>
      </c>
      <c r="E32" s="281">
        <f>(ADS_Mtg_1-(Sales!B5+FV(Rate_Mtg_1/Pmts_Year_Mtg_1,Pmts_Year_Mtg_1,-Per_Pmt_Mtg_1,Bal_EOY1_Mtg_1)))*(Bal_EOY1_Mtg_1&gt;0)</f>
        <v>52679.485005717434</v>
      </c>
      <c r="F32" s="281">
        <f>(ADS_Mtg_1-(Sales!C5+FV(Rate_Mtg_1/Pmts_Year_Mtg_1,Pmts_Year_Mtg_1,-Per_Pmt_Mtg_1,Bal_EOY2_Mtg_1)))*(Bal_EOY2_Mtg_1&gt;0)</f>
        <v>51749.912959717389</v>
      </c>
      <c r="G32" s="281">
        <f>(ADS_Mtg_1-(Sales!D5+FV(Rate_Mtg_1/Pmts_Year_Mtg_1,Pmts_Year_Mtg_1,-Per_Pmt_Mtg_1,Bal_EOY3_Mtg_1)))*(Bal_EOY3_Mtg_1&gt;0)</f>
        <v>50777.636536561593</v>
      </c>
      <c r="H32" s="281">
        <f>(ADS_Mtg_1-(Sales!E5+FV(Rate_Mtg_1/Pmts_Year_Mtg_1,Pmts_Year_Mtg_1,-Per_Pmt_Mtg_1,Bal_EOY4_Mtg_1)))*(Bal_EOY4_Mtg_1&gt;0)</f>
        <v>49760.693904634973</v>
      </c>
      <c r="I32" s="281">
        <f>(ADS_Mtg_1-(Bal_EOY5_Mtg_1+FV(Rate_Mtg_1/Pmts_Year_Mtg_1,Pmts_Year_Mtg_1,-Per_Pmt_Mtg_1,Bal_EOY5_Mtg_1)))*(Bal_EOY5_Mtg_1&gt;0)</f>
        <v>48697.033106121176</v>
      </c>
      <c r="J32" s="281">
        <f>(ADS_Mtg_1-(BAL_EOY6_MTG_1+FV(Rate_Mtg_1/Pmts_Year_Mtg_1,Pmts_Year_Mtg_1,-Per_Pmt_Mtg_1,BAL_EOY6_MTG_1)))*(BAL_EOY6_MTG_1&gt;0)</f>
        <v>47584.507916621107</v>
      </c>
      <c r="K32" s="281">
        <f>(ADS_Mtg_1-(BAL_EOY7_MTG_1+FV(Rate_Mtg_1/Pmts_Year_Mtg_1,Pmts_Year_Mtg_1,-Per_Pmt_Mtg_1,BAL_EOY7_MTG_1)))*(BAL_EOY7_MTG_1&gt;0)</f>
        <v>46420.873514562089</v>
      </c>
      <c r="L32" s="281">
        <f>(ADS_Mtg_1-(BAL_EOY8_MTG_1+FV(Rate_Mtg_1/Pmts_Year_Mtg_1,Pmts_Year_Mtg_1,-Per_Pmt_Mtg_1,BAL_EOY8_MTG_1)))*(BAL_EOY8_MTG_1&gt;0)</f>
        <v>45203.781951661396</v>
      </c>
      <c r="M32" s="281">
        <f>(ADS_Mtg_1-(BAL_EOY9_MTG_1+FV(Rate_Mtg_1/Pmts_Year_Mtg_1,Pmts_Year_Mtg_1,-Per_Pmt_Mtg_1,BAL_EOY9_MTG_1)))*(BAL_EOY9_MTG_1&gt;0)</f>
        <v>43930.777415302757</v>
      </c>
      <c r="N32" s="160"/>
      <c r="O32" s="3"/>
    </row>
    <row r="33" spans="1:15" ht="13" x14ac:dyDescent="0.15">
      <c r="A33" s="92">
        <v>9</v>
      </c>
      <c r="B33" s="350" t="s">
        <v>153</v>
      </c>
      <c r="C33" s="351"/>
      <c r="D33" s="151">
        <f>(ADS_Mtg_2-(Amount_Mtg_2+FV(Rate_Mtg_2/Pmts_Year_Mtg_2,Pmts_Year_Mtg_2,-Per_Pmt_Mtg_2,Amount_Mtg_2)))*((13-Month_Placed_in_Svc)/12)</f>
        <v>0</v>
      </c>
      <c r="E33" s="281">
        <f>(ADS_Mtg_2-(Sales!B6+FV(Rate_Mtg_2/Pmts_Year_Mtg_2,Pmts_Year_Mtg_2,-Per_Pmt_Mtg_2,Bal_EOY1_Mtg_2)))*(Bal_EOY1_Mtg_2&gt;0)</f>
        <v>0</v>
      </c>
      <c r="F33" s="281">
        <f>(ADS_Mtg_2-(Sales!C6+FV(Rate_Mtg_2/Pmts_Year_Mtg_2,Pmts_Year_Mtg_2,-Per_Pmt_Mtg_2,Bal_EOY2_Mtg_2)))*(Bal_EOY2_Mtg_2&gt;0)</f>
        <v>0</v>
      </c>
      <c r="G33" s="281">
        <f>(ADS_Mtg_2-(Sales!D6+FV(Rate_Mtg_2/Pmts_Year_Mtg_2,Pmts_Year_Mtg_2,-Per_Pmt_Mtg_2,Bal_EOY3_Mtg_2)))*(Bal_EOY3_Mtg_2&gt;0)</f>
        <v>0</v>
      </c>
      <c r="H33" s="281">
        <f>(ADS_Mtg_2-(Sales!E6+FV(Rate_Mtg_2/Pmts_Year_Mtg_2,Pmts_Year_Mtg_2,-Per_Pmt_Mtg_2,Bal_EOY4_Mtg_2)))*(Bal_EOY4_Mtg_2&gt;0)</f>
        <v>0</v>
      </c>
      <c r="I33" s="281">
        <f>(ADS_Mtg_2-(Bal_EOY5_Mtg_2+FV(Rate_Mtg_2/Pmts_Year_Mtg_2,Pmts_Year_Mtg_2,-Per_Pmt_Mtg_2,Bal_EOY5_Mtg_2)))*(Bal_EOY5_Mtg_2&gt;0)</f>
        <v>0</v>
      </c>
      <c r="J33" s="281">
        <f>(ADS_Mtg_2-(BAL_EOY6_MTG_2+FV(Rate_Mtg_2/Pmts_Year_Mtg_2,Pmts_Year_Mtg_2,-Per_Pmt_Mtg_2,BAL_EOY6_MTG_2)))*(BAL_EOY6_MTG_2&gt;0)</f>
        <v>0</v>
      </c>
      <c r="K33" s="281">
        <f>(ADS_Mtg_2-(BAL_EOY7_MTG_2+FV(Rate_Mtg_2/Pmts_Year_Mtg_2,Pmts_Year_Mtg_2,-Per_Pmt_Mtg_2,BAL_EOY7_MTG_2)))*(BAL_EOY7_MTG_2&gt;0)</f>
        <v>0</v>
      </c>
      <c r="L33" s="281">
        <f>(ADS_Mtg_2-(BAL_EOY8_MTG_2+FV(Rate_Mtg_2/Pmts_Year_Mtg_2,Pmts_Year_Mtg_2,-Per_Pmt_Mtg_2,BAL_EOY8_MTG_2)))*(BAL_EOY8_MTG_2&gt;0)</f>
        <v>0</v>
      </c>
      <c r="M33" s="281">
        <f>(ADS_Mtg_2-(BAL_EOY9_MTG_2+FV(Rate_Mtg_2/Pmts_Year_Mtg_2,Pmts_Year_Mtg_2,-Per_Pmt_Mtg_2,BAL_EOY9_MTG_2)))*(BAL_EOY9_MTG_2&gt;0)</f>
        <v>0</v>
      </c>
      <c r="N33" s="160"/>
      <c r="O33" s="3"/>
    </row>
    <row r="34" spans="1:15" ht="13" x14ac:dyDescent="0.15">
      <c r="A34" s="92">
        <v>10</v>
      </c>
      <c r="B34" s="227" t="s">
        <v>167</v>
      </c>
      <c r="C34" s="228"/>
      <c r="D34" s="26">
        <f>(NOI_Yr_1-(D32+D33+(Amount_Mtg_1+Amount_Mtg_2-Sales!B7)))*PartCash</f>
        <v>0</v>
      </c>
      <c r="E34" s="26">
        <f>(NOI_Yr_2-ADS_Mtg_1-ADS_Mtg_2)*PartCash</f>
        <v>0</v>
      </c>
      <c r="F34" s="26">
        <f>(NOI_Yr_3-ADS_Mtg_1-ADS_Mtg_2)*PartCash</f>
        <v>0</v>
      </c>
      <c r="G34" s="26">
        <f>(NOI_Yr_4-ADS_Mtg_1-ADS_Mtg_2)*PartCash</f>
        <v>0</v>
      </c>
      <c r="H34" s="26">
        <f>(NOI_Yr_5-ADS_Mtg_1-ADS_Mtg_2)*PartCash</f>
        <v>0</v>
      </c>
      <c r="I34" s="26">
        <f>(Noi_Yr_6-ADS_Mtg_1-ADS_Mtg_2)*PartCash</f>
        <v>0</v>
      </c>
      <c r="J34" s="26">
        <f>(J31-ADS_Mtg_1-ADS_Mtg_2)*PartCash</f>
        <v>0</v>
      </c>
      <c r="K34" s="26">
        <f>(K31-ADS_Mtg_1-ADS_Mtg_2)*PartCash</f>
        <v>0</v>
      </c>
      <c r="L34" s="26">
        <f>(L31-ADS_Mtg_1-ADS_Mtg_2)*PartCash</f>
        <v>0</v>
      </c>
      <c r="M34" s="26">
        <f>(M31-ADS_Mtg_1-ADS_Mtg_2)*PartCash</f>
        <v>0</v>
      </c>
      <c r="N34" s="160"/>
      <c r="O34" s="3"/>
    </row>
    <row r="35" spans="1:15" ht="13" x14ac:dyDescent="0.15">
      <c r="A35" s="92">
        <v>11</v>
      </c>
      <c r="B35" s="350" t="s">
        <v>154</v>
      </c>
      <c r="C35" s="351"/>
      <c r="D35" s="151">
        <f>ROUND(Value_Improvements_Real*ROUND(1/Useful_Life_Real*((12.5-Month_Placed_in_Svc)/12),5),0)</f>
        <v>42111</v>
      </c>
      <c r="E35" s="150">
        <f>ROUND(Value_Improvements_Real*ROUND(1/Useful_Life_Real,5),0)</f>
        <v>43933</v>
      </c>
      <c r="F35" s="150">
        <f t="shared" ref="F35:L35" si="4">+E35</f>
        <v>43933</v>
      </c>
      <c r="G35" s="150">
        <f t="shared" si="4"/>
        <v>43933</v>
      </c>
      <c r="H35" s="150">
        <f t="shared" si="4"/>
        <v>43933</v>
      </c>
      <c r="I35" s="150">
        <f t="shared" si="4"/>
        <v>43933</v>
      </c>
      <c r="J35" s="150">
        <f t="shared" si="4"/>
        <v>43933</v>
      </c>
      <c r="K35" s="150">
        <f t="shared" si="4"/>
        <v>43933</v>
      </c>
      <c r="L35" s="150">
        <f t="shared" si="4"/>
        <v>43933</v>
      </c>
      <c r="M35" s="157">
        <f>ROUND(Value_Improvements_Real*ROUND(1/Useful_Life_Real*(MONTH(Date_of_Sale)-0.5)/12,5),0)</f>
        <v>42111</v>
      </c>
      <c r="N35" s="160"/>
      <c r="O35" s="3"/>
    </row>
    <row r="36" spans="1:15" ht="13" x14ac:dyDescent="0.15">
      <c r="A36" s="92">
        <v>12</v>
      </c>
      <c r="B36" s="350" t="s">
        <v>155</v>
      </c>
      <c r="C36" s="351"/>
      <c r="D36" s="152"/>
      <c r="E36" s="97"/>
      <c r="F36" s="26"/>
      <c r="G36" s="26"/>
      <c r="H36" s="26"/>
      <c r="I36" s="26"/>
      <c r="J36" s="26"/>
      <c r="K36" s="26"/>
      <c r="L36" s="26"/>
      <c r="M36" s="96"/>
      <c r="N36" s="160"/>
      <c r="O36" s="3"/>
    </row>
    <row r="37" spans="1:15" ht="13" x14ac:dyDescent="0.15">
      <c r="A37" s="93">
        <v>13</v>
      </c>
      <c r="B37" s="352" t="s">
        <v>168</v>
      </c>
      <c r="C37" s="315"/>
      <c r="D37" s="131">
        <f>IF(Loan_Term_Mtg_1,Points_Mtg_1/Loan_Term_Mtg_1,)+IF(Loan_Term_Mtg_2,Points_Mtg_2/Loan_Term_Mtg_2,)</f>
        <v>0</v>
      </c>
      <c r="E37" s="131">
        <f>IF(Loan_Term_Mtg_1,Points_Mtg_1/Loan_Term_Mtg_1,)*(Loan_Term_Mtg_1&gt;1)+IF(Loan_Term_Mtg_2,Points_Mtg_2/Loan_Term_Mtg_2,)*(Loan_Term_Mtg_2&gt;1)</f>
        <v>0</v>
      </c>
      <c r="F37" s="131">
        <f>IF(Loan_Term_Mtg_1,Points_Mtg_1/Loan_Term_Mtg_1,)*(Loan_Term_Mtg_1&gt;2)+IF(Loan_Term_Mtg_2,Points_Mtg_2/Loan_Term_Mtg_2,)*(Loan_Term_Mtg_2&gt;2)</f>
        <v>0</v>
      </c>
      <c r="G37" s="131">
        <f>IF(Loan_Term_Mtg_1,Points_Mtg_1/Loan_Term_Mtg_1,)*(Loan_Term_Mtg_1&gt;3)+IF(Loan_Term_Mtg_2,Points_Mtg_2/Loan_Term_Mtg_2,)*(Loan_Term_Mtg_2&gt;3)</f>
        <v>0</v>
      </c>
      <c r="H37" s="131">
        <f>IF(Loan_Term_Mtg_1,Points_Mtg_1/Loan_Term_Mtg_1,)*(Loan_Term_Mtg_1&gt;4)+IF(Loan_Term_Mtg_2,Points_Mtg_2/Loan_Term_Mtg_2,)*(Loan_Term_Mtg_2&gt;4)</f>
        <v>0</v>
      </c>
      <c r="I37" s="131">
        <f>IF(Loan_Term_Mtg_1,Points_Mtg_1/Loan_Term_Mtg_1,)*(Loan_Term_Mtg_1&gt;4)+IF(Loan_Term_Mtg_2,Points_Mtg_2/Loan_Term_Mtg_2,)*(Loan_Term_Mtg_2&gt;5)</f>
        <v>0</v>
      </c>
      <c r="J37" s="131">
        <f>IF(Loan_Term_Mtg_1,Points_Mtg_1/Loan_Term_Mtg_1,)*(Loan_Term_Mtg_1&gt;4)+IF(Loan_Term_Mtg_2,Points_Mtg_2/Loan_Term_Mtg_2,)*(Loan_Term_Mtg_2&gt;6)</f>
        <v>0</v>
      </c>
      <c r="K37" s="131">
        <f>IF(Loan_Term_Mtg_1,Points_Mtg_1/Loan_Term_Mtg_1,)*(Loan_Term_Mtg_1&gt;4)+IF(Loan_Term_Mtg_2,Points_Mtg_2/Loan_Term_Mtg_2,)*(Loan_Term_Mtg_2&gt;7)</f>
        <v>0</v>
      </c>
      <c r="L37" s="131">
        <f>IF(Loan_Term_Mtg_1,Points_Mtg_1/Loan_Term_Mtg_1,)*(Loan_Term_Mtg_1&gt;4)+IF(Loan_Term_Mtg_2,Points_Mtg_2/Loan_Term_Mtg_2,)*(Loan_Term_Mtg_2&gt;8)</f>
        <v>0</v>
      </c>
      <c r="M37" s="158">
        <f>IF(Loan_Term_Mtg_1,Points_Mtg_1/Loan_Term_Mtg_1,)*(Loan_Term_Mtg_1&gt;4)+IF(Loan_Term_Mtg_2,Points_Mtg_2/Loan_Term_Mtg_2,)*(Loan_Term_Mtg_2&gt;9)</f>
        <v>0</v>
      </c>
      <c r="N37" s="160"/>
      <c r="O37" s="3"/>
    </row>
    <row r="38" spans="1:15" ht="13" x14ac:dyDescent="0.15">
      <c r="A38" s="92">
        <v>14</v>
      </c>
      <c r="B38" s="353" t="s">
        <v>135</v>
      </c>
      <c r="C38" s="351"/>
      <c r="D38" s="26">
        <f>+Leasing_Commissions</f>
        <v>0</v>
      </c>
      <c r="E38" s="26">
        <f>D38*(1+IncEscal_2)</f>
        <v>0</v>
      </c>
      <c r="F38" s="26">
        <f>E38*(1+IncEscal_3)</f>
        <v>0</v>
      </c>
      <c r="G38" s="26">
        <f>F38*(1+IncEscal_4)</f>
        <v>0</v>
      </c>
      <c r="H38" s="26">
        <f>G38*(1+IncEscal_5)</f>
        <v>0</v>
      </c>
      <c r="I38" s="26">
        <f>+H38*(1+IncEscal_6)</f>
        <v>0</v>
      </c>
      <c r="J38" s="26">
        <f>+I38*(1+IncEscal_7)</f>
        <v>0</v>
      </c>
      <c r="K38" s="26">
        <f>+J38*(1+IncEscal_8)</f>
        <v>0</v>
      </c>
      <c r="L38" s="26">
        <f>+K38*(1+IncEscal_9)</f>
        <v>0</v>
      </c>
      <c r="M38" s="26">
        <f>+L38*(1+IncEscal_10)</f>
        <v>0</v>
      </c>
      <c r="N38" s="160"/>
      <c r="O38" s="3"/>
    </row>
    <row r="39" spans="1:15" ht="13" x14ac:dyDescent="0.15">
      <c r="A39" s="92">
        <v>15</v>
      </c>
      <c r="B39" s="350" t="s">
        <v>146</v>
      </c>
      <c r="C39" s="351"/>
      <c r="D39" s="103">
        <f>+D31-D32-D33-D34-D35-D36-D37-D38</f>
        <v>-33208.228338503221</v>
      </c>
      <c r="E39" s="103">
        <f t="shared" ref="E39:M39" si="5">+E31-E32-E33-E34-E35-E36-E37-E38</f>
        <v>-32267.355005717436</v>
      </c>
      <c r="F39" s="103">
        <f t="shared" si="5"/>
        <v>-29407.429059717397</v>
      </c>
      <c r="G39" s="103">
        <f t="shared" si="5"/>
        <v>-26446.888119561583</v>
      </c>
      <c r="H39" s="103">
        <f t="shared" si="5"/>
        <v>-23382.033035124958</v>
      </c>
      <c r="I39" s="103">
        <f t="shared" si="5"/>
        <v>-20209.022410525868</v>
      </c>
      <c r="J39" s="103">
        <f t="shared" si="5"/>
        <v>-16923.86690015794</v>
      </c>
      <c r="K39" s="103">
        <f t="shared" si="5"/>
        <v>-13522.423267605031</v>
      </c>
      <c r="L39" s="103">
        <f t="shared" si="5"/>
        <v>-10000.38819729563</v>
      </c>
      <c r="M39" s="103">
        <f t="shared" si="5"/>
        <v>-4531.2918483060057</v>
      </c>
      <c r="N39" s="160"/>
      <c r="O39" s="3"/>
    </row>
    <row r="40" spans="1:15" ht="13" x14ac:dyDescent="0.15">
      <c r="A40" s="92">
        <v>16</v>
      </c>
      <c r="B40" s="354">
        <f>Ordinary_Income_Tax_Bracket</f>
        <v>0.35</v>
      </c>
      <c r="C40" s="355"/>
      <c r="D40" s="26">
        <f t="shared" ref="D40:M40" si="6">+D39*Ordinary_Income_Tax_Bracket</f>
        <v>-11622.879918476126</v>
      </c>
      <c r="E40" s="26">
        <f t="shared" si="6"/>
        <v>-11293.574252001103</v>
      </c>
      <c r="F40" s="26">
        <f t="shared" si="6"/>
        <v>-10292.600170901089</v>
      </c>
      <c r="G40" s="26">
        <f t="shared" si="6"/>
        <v>-9256.410841846553</v>
      </c>
      <c r="H40" s="26">
        <f t="shared" si="6"/>
        <v>-8183.7115622937345</v>
      </c>
      <c r="I40" s="26">
        <f t="shared" si="6"/>
        <v>-7073.1578436840537</v>
      </c>
      <c r="J40" s="26">
        <f t="shared" si="6"/>
        <v>-5923.3534150552787</v>
      </c>
      <c r="K40" s="26">
        <f t="shared" si="6"/>
        <v>-4732.8481436617603</v>
      </c>
      <c r="L40" s="26">
        <f t="shared" si="6"/>
        <v>-3500.1358690534703</v>
      </c>
      <c r="M40" s="96">
        <f t="shared" si="6"/>
        <v>-1585.9521469071019</v>
      </c>
      <c r="N40" s="160"/>
      <c r="O40" s="3"/>
    </row>
    <row r="41" spans="1:15" ht="12.75" customHeight="1" x14ac:dyDescent="0.15">
      <c r="A41" s="92"/>
      <c r="B41" s="64"/>
      <c r="C41" s="108" t="str">
        <f>CHAR(175)&amp;CHAR(175)&amp;CHAR(175)&amp;CHAR(175)</f>
        <v>ØØØØ</v>
      </c>
      <c r="D41" s="96"/>
      <c r="E41" s="95"/>
      <c r="F41" s="95"/>
      <c r="G41" s="95"/>
      <c r="H41" s="95"/>
      <c r="I41" s="95"/>
      <c r="J41" s="95"/>
      <c r="K41" s="95"/>
      <c r="L41" s="95"/>
      <c r="M41" s="95"/>
      <c r="N41" s="3"/>
      <c r="O41" s="3"/>
    </row>
    <row r="42" spans="1:15" ht="15.75" customHeight="1" x14ac:dyDescent="0.2">
      <c r="A42" s="94"/>
      <c r="B42" s="48"/>
      <c r="C42" s="48"/>
      <c r="D42" s="65"/>
      <c r="E42" s="109" t="s">
        <v>78</v>
      </c>
      <c r="F42" s="65"/>
      <c r="G42" s="65"/>
      <c r="H42" s="65"/>
      <c r="I42" s="65"/>
      <c r="J42" s="65"/>
      <c r="K42" s="65"/>
      <c r="L42" s="65"/>
      <c r="M42" s="65"/>
      <c r="N42" s="161"/>
      <c r="O42" s="3"/>
    </row>
    <row r="43" spans="1:15" ht="13" x14ac:dyDescent="0.15">
      <c r="A43" s="92">
        <v>17</v>
      </c>
      <c r="B43" s="356" t="s">
        <v>196</v>
      </c>
      <c r="C43" s="357"/>
      <c r="D43" s="26">
        <f t="shared" ref="D43:M43" si="7">+D31</f>
        <v>62471</v>
      </c>
      <c r="E43" s="26">
        <f t="shared" si="7"/>
        <v>64345.13</v>
      </c>
      <c r="F43" s="26">
        <f>+F31</f>
        <v>66275.483899999992</v>
      </c>
      <c r="G43" s="26">
        <f t="shared" si="7"/>
        <v>68263.74841700001</v>
      </c>
      <c r="H43" s="26">
        <f t="shared" si="7"/>
        <v>70311.660869510015</v>
      </c>
      <c r="I43" s="26">
        <f t="shared" si="7"/>
        <v>72421.010695595309</v>
      </c>
      <c r="J43" s="26">
        <f t="shared" si="7"/>
        <v>74593.641016463167</v>
      </c>
      <c r="K43" s="26">
        <f t="shared" si="7"/>
        <v>76831.450246957058</v>
      </c>
      <c r="L43" s="26">
        <f t="shared" si="7"/>
        <v>79136.393754365767</v>
      </c>
      <c r="M43" s="96">
        <f t="shared" si="7"/>
        <v>81510.485566996751</v>
      </c>
      <c r="N43" s="160"/>
      <c r="O43" s="3"/>
    </row>
    <row r="44" spans="1:15" ht="13" x14ac:dyDescent="0.15">
      <c r="A44" s="92">
        <v>18</v>
      </c>
      <c r="B44" s="350" t="s">
        <v>79</v>
      </c>
      <c r="C44" s="351"/>
      <c r="D44" s="26">
        <f>+D32+D33+(CashFlows!C12+CashFlows!D12-Sales!B7)</f>
        <v>72914.042825184239</v>
      </c>
      <c r="E44" s="26">
        <f>+E32+E33+(Sales!B7-Sales!C7)</f>
        <v>72914.042825184239</v>
      </c>
      <c r="F44" s="26">
        <f>+F32+F33+(Sales!C7-Sales!D7)</f>
        <v>72914.042825184239</v>
      </c>
      <c r="G44" s="26">
        <f>+G32+G33+(Sales!D7-Sales!E7)</f>
        <v>72914.042825184239</v>
      </c>
      <c r="H44" s="26">
        <f>+H32+H33+(Sales!E7-Sales!F7)</f>
        <v>72914.042825184239</v>
      </c>
      <c r="I44" s="26">
        <f>+I32+I33+(Sales!F7-Sales!B12)</f>
        <v>72914.042825184239</v>
      </c>
      <c r="J44" s="26">
        <f>+J32+J33+(Sales!B12-Sales!C12)</f>
        <v>72914.042825184239</v>
      </c>
      <c r="K44" s="26">
        <f>+K32+K33+(Sales!C12-Sales!D12)</f>
        <v>72914.042825184239</v>
      </c>
      <c r="L44" s="26">
        <f>+L32+L33+(Sales!D12-Sales!E12)</f>
        <v>72914.042825184239</v>
      </c>
      <c r="M44" s="96">
        <f>+M32+M33+(Sales!E12-Sales!F12)</f>
        <v>72914.042825184239</v>
      </c>
      <c r="N44" s="160"/>
      <c r="O44" s="3"/>
    </row>
    <row r="45" spans="1:15" ht="13" x14ac:dyDescent="0.15">
      <c r="A45" s="229">
        <v>19</v>
      </c>
      <c r="B45" s="358" t="s">
        <v>197</v>
      </c>
      <c r="C45" s="315"/>
      <c r="D45" s="26">
        <f>+D34</f>
        <v>0</v>
      </c>
      <c r="E45" s="26">
        <f t="shared" ref="E45:M45" si="8">+E34</f>
        <v>0</v>
      </c>
      <c r="F45" s="26">
        <f t="shared" si="8"/>
        <v>0</v>
      </c>
      <c r="G45" s="26">
        <f t="shared" si="8"/>
        <v>0</v>
      </c>
      <c r="H45" s="26">
        <f t="shared" si="8"/>
        <v>0</v>
      </c>
      <c r="I45" s="26">
        <f t="shared" si="8"/>
        <v>0</v>
      </c>
      <c r="J45" s="26">
        <f t="shared" si="8"/>
        <v>0</v>
      </c>
      <c r="K45" s="26">
        <f t="shared" si="8"/>
        <v>0</v>
      </c>
      <c r="L45" s="26">
        <f t="shared" si="8"/>
        <v>0</v>
      </c>
      <c r="M45" s="26">
        <f t="shared" si="8"/>
        <v>0</v>
      </c>
      <c r="N45" s="160"/>
      <c r="O45" s="3"/>
    </row>
    <row r="46" spans="1:15" ht="13" x14ac:dyDescent="0.15">
      <c r="A46" s="230">
        <v>20</v>
      </c>
      <c r="B46" s="353" t="s">
        <v>169</v>
      </c>
      <c r="C46" s="315"/>
      <c r="D46" s="26">
        <f>D38</f>
        <v>0</v>
      </c>
      <c r="E46" s="26">
        <f t="shared" ref="E46:M46" si="9">E38</f>
        <v>0</v>
      </c>
      <c r="F46" s="26">
        <f t="shared" si="9"/>
        <v>0</v>
      </c>
      <c r="G46" s="26">
        <f t="shared" si="9"/>
        <v>0</v>
      </c>
      <c r="H46" s="26">
        <f t="shared" si="9"/>
        <v>0</v>
      </c>
      <c r="I46" s="26">
        <f t="shared" si="9"/>
        <v>0</v>
      </c>
      <c r="J46" s="26">
        <f t="shared" si="9"/>
        <v>0</v>
      </c>
      <c r="K46" s="26">
        <f t="shared" si="9"/>
        <v>0</v>
      </c>
      <c r="L46" s="26">
        <f t="shared" si="9"/>
        <v>0</v>
      </c>
      <c r="M46" s="26">
        <f t="shared" si="9"/>
        <v>0</v>
      </c>
      <c r="N46" s="160"/>
      <c r="O46" s="3"/>
    </row>
    <row r="47" spans="1:15" ht="13" x14ac:dyDescent="0.15">
      <c r="A47" s="229">
        <v>21</v>
      </c>
      <c r="B47" s="352" t="s">
        <v>170</v>
      </c>
      <c r="C47" s="315"/>
      <c r="D47" s="26">
        <f>Reserves*((13-Month_Placed_in_Svc)/12)</f>
        <v>0</v>
      </c>
      <c r="E47" s="26">
        <f>D47/((13-Month_Placed_in_Svc)/12)*(1+ExpEscal_2)</f>
        <v>0</v>
      </c>
      <c r="F47" s="26">
        <f>+E47*(1+ExpEscal_3)</f>
        <v>0</v>
      </c>
      <c r="G47" s="26">
        <f>+F47*(1+ExpEscal_4)</f>
        <v>0</v>
      </c>
      <c r="H47" s="26">
        <f>+G47*(1+ExpEscal_5)</f>
        <v>0</v>
      </c>
      <c r="I47" s="26">
        <f>+H47*(1+ExpEscal_6)</f>
        <v>0</v>
      </c>
      <c r="J47" s="26">
        <f>+I47*(1+ExpEscal_7)</f>
        <v>0</v>
      </c>
      <c r="K47" s="26">
        <f>+J47*(1+ExpEscal_8)</f>
        <v>0</v>
      </c>
      <c r="L47" s="26">
        <f>+K47*(1+ExpEscal_9)</f>
        <v>0</v>
      </c>
      <c r="M47" s="26">
        <f>+L47*(1+ExpEscal_10)</f>
        <v>0</v>
      </c>
      <c r="N47" s="160"/>
      <c r="O47" s="3"/>
    </row>
    <row r="48" spans="1:15" ht="13" x14ac:dyDescent="0.15">
      <c r="A48" s="229">
        <v>22</v>
      </c>
      <c r="B48" s="352" t="s">
        <v>80</v>
      </c>
      <c r="C48" s="315"/>
      <c r="D48" s="26">
        <f>D43-D44-D45-D46-D47</f>
        <v>-10443.042825184239</v>
      </c>
      <c r="E48" s="26">
        <f t="shared" ref="E48:M48" si="10">E43-E44-E45-E46-E47</f>
        <v>-8568.9128251842412</v>
      </c>
      <c r="F48" s="26">
        <f t="shared" si="10"/>
        <v>-6638.5589251842466</v>
      </c>
      <c r="G48" s="26">
        <f t="shared" si="10"/>
        <v>-4650.2944081842288</v>
      </c>
      <c r="H48" s="26">
        <f t="shared" si="10"/>
        <v>-2602.3819556742237</v>
      </c>
      <c r="I48" s="26">
        <f t="shared" si="10"/>
        <v>-493.03212958892982</v>
      </c>
      <c r="J48" s="26">
        <f t="shared" si="10"/>
        <v>1679.5981912789284</v>
      </c>
      <c r="K48" s="26">
        <f t="shared" si="10"/>
        <v>3917.4074217728194</v>
      </c>
      <c r="L48" s="26">
        <f t="shared" si="10"/>
        <v>6222.350929181528</v>
      </c>
      <c r="M48" s="26">
        <f t="shared" si="10"/>
        <v>8596.4427418125124</v>
      </c>
      <c r="N48" s="160"/>
      <c r="O48" s="3"/>
    </row>
    <row r="49" spans="1:15" ht="13" x14ac:dyDescent="0.15">
      <c r="A49" s="231">
        <v>23</v>
      </c>
      <c r="B49" s="352" t="s">
        <v>81</v>
      </c>
      <c r="C49" s="315"/>
      <c r="D49" s="26">
        <f>D40</f>
        <v>-11622.879918476126</v>
      </c>
      <c r="E49" s="26">
        <f t="shared" ref="E49:M49" si="11">E40</f>
        <v>-11293.574252001103</v>
      </c>
      <c r="F49" s="26">
        <f t="shared" si="11"/>
        <v>-10292.600170901089</v>
      </c>
      <c r="G49" s="26">
        <f t="shared" si="11"/>
        <v>-9256.410841846553</v>
      </c>
      <c r="H49" s="26">
        <f t="shared" si="11"/>
        <v>-8183.7115622937345</v>
      </c>
      <c r="I49" s="26">
        <f t="shared" si="11"/>
        <v>-7073.1578436840537</v>
      </c>
      <c r="J49" s="26">
        <f t="shared" si="11"/>
        <v>-5923.3534150552787</v>
      </c>
      <c r="K49" s="26">
        <f t="shared" si="11"/>
        <v>-4732.8481436617603</v>
      </c>
      <c r="L49" s="26">
        <f t="shared" si="11"/>
        <v>-3500.1358690534703</v>
      </c>
      <c r="M49" s="26">
        <f t="shared" si="11"/>
        <v>-1585.9521469071019</v>
      </c>
      <c r="N49" s="160"/>
      <c r="O49" s="3"/>
    </row>
    <row r="50" spans="1:15" ht="13" x14ac:dyDescent="0.15">
      <c r="A50" s="231">
        <v>24</v>
      </c>
      <c r="B50" s="352" t="s">
        <v>82</v>
      </c>
      <c r="C50" s="315"/>
      <c r="D50" s="29">
        <f>CFBT_1-D49</f>
        <v>1179.8370932918879</v>
      </c>
      <c r="E50" s="29">
        <f>CFBT_2-E49</f>
        <v>2724.6614268168614</v>
      </c>
      <c r="F50" s="29">
        <f>CFBT_3-F49</f>
        <v>3654.0412457168422</v>
      </c>
      <c r="G50" s="29">
        <f>CFBT_4-G49</f>
        <v>4606.1164336623242</v>
      </c>
      <c r="H50" s="29">
        <f>CFBT_5-H49</f>
        <v>5581.3296066195107</v>
      </c>
      <c r="I50" s="29">
        <f>CFBT_6-I49</f>
        <v>6580.1257140951238</v>
      </c>
      <c r="J50" s="29">
        <f>CFBT_7-J49</f>
        <v>7602.9516063342071</v>
      </c>
      <c r="K50" s="29">
        <f>CFBT_8-K49</f>
        <v>8650.2555654345797</v>
      </c>
      <c r="L50" s="29">
        <f>CFBT_9-L49</f>
        <v>9722.4867982349988</v>
      </c>
      <c r="M50" s="159">
        <f>CFBT_10-M49</f>
        <v>10182.394888719615</v>
      </c>
      <c r="N50" s="162"/>
      <c r="O50" s="3"/>
    </row>
    <row r="51" spans="1:15" ht="13" x14ac:dyDescent="0.15">
      <c r="A51" s="10"/>
      <c r="B51" s="5"/>
      <c r="C51" s="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6"/>
      <c r="O51" s="3"/>
    </row>
    <row r="52" spans="1:15" x14ac:dyDescent="0.15">
      <c r="A52" s="348" t="s">
        <v>204</v>
      </c>
      <c r="B52" s="349"/>
      <c r="C52" s="349"/>
      <c r="D52" s="349"/>
      <c r="E52" s="349"/>
      <c r="F52" s="349"/>
      <c r="G52" s="349"/>
      <c r="H52" s="349"/>
      <c r="I52" s="2"/>
      <c r="N52" s="3"/>
      <c r="O52" s="3"/>
    </row>
    <row r="53" spans="1:15" x14ac:dyDescent="0.15">
      <c r="A53" s="359" t="s">
        <v>83</v>
      </c>
      <c r="B53" s="359"/>
      <c r="C53" s="359"/>
      <c r="D53" s="359"/>
      <c r="E53" s="359"/>
      <c r="F53" s="359"/>
      <c r="G53" s="359"/>
      <c r="H53" s="359"/>
      <c r="I53" s="2"/>
    </row>
    <row r="54" spans="1:15" x14ac:dyDescent="0.15">
      <c r="A54" s="72"/>
      <c r="B54" s="18"/>
      <c r="C54" s="18"/>
      <c r="D54" s="18"/>
      <c r="E54" s="18"/>
      <c r="F54" s="18"/>
      <c r="G54" s="18"/>
      <c r="H54" s="2"/>
      <c r="I54" s="2"/>
    </row>
    <row r="55" spans="1:15" x14ac:dyDescent="0.15">
      <c r="A55" s="9"/>
      <c r="B55" s="9"/>
      <c r="C55" s="9"/>
      <c r="D55" s="9"/>
      <c r="E55" s="9"/>
      <c r="F55" s="9"/>
      <c r="G55" s="9"/>
      <c r="I55" s="2"/>
    </row>
    <row r="56" spans="1:15" x14ac:dyDescent="0.15">
      <c r="A56" s="9"/>
      <c r="B56" s="9"/>
      <c r="C56" s="9"/>
      <c r="D56" s="9"/>
      <c r="E56" s="9"/>
      <c r="F56" s="9"/>
      <c r="G56" s="9"/>
      <c r="I56" s="2"/>
    </row>
    <row r="57" spans="1:15" x14ac:dyDescent="0.15">
      <c r="A57" s="9"/>
      <c r="B57" s="9"/>
      <c r="C57" s="106"/>
      <c r="D57" s="105"/>
      <c r="E57" s="263"/>
      <c r="F57" s="9"/>
      <c r="G57" s="9"/>
      <c r="I57" s="2"/>
    </row>
    <row r="58" spans="1:15" x14ac:dyDescent="0.15">
      <c r="A58" s="9"/>
      <c r="B58" s="9"/>
      <c r="C58" s="9"/>
      <c r="D58" s="9"/>
      <c r="E58" s="9"/>
      <c r="F58" s="9"/>
      <c r="G58" s="9"/>
      <c r="I58" s="2"/>
    </row>
    <row r="59" spans="1:15" x14ac:dyDescent="0.15">
      <c r="A59" s="9"/>
      <c r="B59" s="9"/>
      <c r="C59" s="9"/>
      <c r="D59" s="9"/>
      <c r="E59" s="9"/>
      <c r="F59" s="9"/>
      <c r="G59" s="9"/>
      <c r="I59" s="2"/>
    </row>
    <row r="60" spans="1:15" x14ac:dyDescent="0.15">
      <c r="A60" s="9"/>
      <c r="B60" s="9"/>
      <c r="C60" s="9"/>
      <c r="D60" s="9"/>
      <c r="E60" s="9"/>
      <c r="F60" s="9"/>
      <c r="G60" s="9"/>
      <c r="I60" s="2"/>
    </row>
    <row r="61" spans="1:15" x14ac:dyDescent="0.15">
      <c r="A61" s="9"/>
      <c r="B61" s="9"/>
      <c r="C61" s="9"/>
      <c r="D61" s="9"/>
      <c r="E61" s="9"/>
      <c r="F61" s="9"/>
      <c r="G61" s="9"/>
      <c r="I61" s="2"/>
    </row>
    <row r="62" spans="1:15" x14ac:dyDescent="0.15">
      <c r="A62" s="9"/>
      <c r="B62" s="9"/>
      <c r="C62" s="9"/>
      <c r="D62" s="9"/>
      <c r="E62" s="9"/>
      <c r="F62" s="9"/>
      <c r="G62" s="9"/>
      <c r="I62" s="2"/>
    </row>
    <row r="63" spans="1:15" x14ac:dyDescent="0.15">
      <c r="A63" s="9"/>
      <c r="B63" s="9"/>
      <c r="C63" s="9"/>
      <c r="D63" s="9"/>
      <c r="E63" s="9"/>
      <c r="F63" s="9"/>
      <c r="G63" s="9"/>
      <c r="I63" s="2"/>
    </row>
    <row r="64" spans="1:15" x14ac:dyDescent="0.15">
      <c r="A64" s="9"/>
      <c r="B64" s="9"/>
      <c r="C64" s="9"/>
      <c r="D64" s="9"/>
      <c r="E64" s="9"/>
      <c r="F64" s="9"/>
      <c r="G64" s="9"/>
      <c r="I64" s="2"/>
    </row>
    <row r="65" spans="1:9" x14ac:dyDescent="0.15">
      <c r="A65" s="9"/>
      <c r="B65" s="9"/>
      <c r="C65" s="9"/>
      <c r="D65" s="9"/>
      <c r="E65" s="9"/>
      <c r="F65" s="9"/>
      <c r="G65" s="9"/>
      <c r="I65" s="2"/>
    </row>
    <row r="66" spans="1:9" x14ac:dyDescent="0.15">
      <c r="A66" s="9"/>
      <c r="B66" s="9"/>
      <c r="C66" s="9"/>
      <c r="D66" s="9"/>
      <c r="E66" s="9"/>
      <c r="F66" s="9"/>
      <c r="G66" s="9"/>
      <c r="I66" s="2"/>
    </row>
    <row r="67" spans="1:9" x14ac:dyDescent="0.15">
      <c r="A67" s="9"/>
      <c r="B67" s="9"/>
      <c r="C67" s="9"/>
      <c r="D67" s="9"/>
      <c r="E67" s="9"/>
      <c r="F67" s="9"/>
      <c r="G67" s="9"/>
      <c r="I67" s="2"/>
    </row>
    <row r="68" spans="1:9" x14ac:dyDescent="0.15">
      <c r="A68" s="9"/>
      <c r="B68" s="9"/>
      <c r="C68" s="9"/>
      <c r="D68" s="9"/>
      <c r="E68" s="9"/>
      <c r="F68" s="9"/>
      <c r="G68" s="9"/>
    </row>
    <row r="69" spans="1:9" x14ac:dyDescent="0.15">
      <c r="A69" s="9"/>
      <c r="B69" s="9"/>
      <c r="C69" s="9"/>
      <c r="D69" s="9"/>
      <c r="E69" s="9"/>
      <c r="F69" s="9"/>
      <c r="G69" s="9"/>
    </row>
    <row r="70" spans="1:9" x14ac:dyDescent="0.15">
      <c r="A70" s="9"/>
      <c r="B70" s="9"/>
      <c r="C70" s="9"/>
      <c r="D70" s="9"/>
      <c r="E70" s="9"/>
      <c r="F70" s="9"/>
      <c r="G70" s="9"/>
    </row>
    <row r="71" spans="1:9" x14ac:dyDescent="0.15">
      <c r="A71" s="9"/>
      <c r="B71" s="9"/>
      <c r="C71" s="9"/>
      <c r="D71" s="9"/>
      <c r="E71" s="9"/>
      <c r="F71" s="9"/>
      <c r="G71" s="9"/>
    </row>
    <row r="72" spans="1:9" x14ac:dyDescent="0.15">
      <c r="A72" s="9"/>
      <c r="B72" s="9"/>
      <c r="C72" s="9"/>
      <c r="D72" s="9"/>
      <c r="E72" s="9"/>
      <c r="F72" s="9"/>
      <c r="G72" s="9"/>
    </row>
    <row r="73" spans="1:9" x14ac:dyDescent="0.15">
      <c r="A73" s="9"/>
      <c r="B73" s="9"/>
      <c r="C73" s="9"/>
      <c r="D73" s="9"/>
      <c r="E73" s="9"/>
      <c r="F73" s="9"/>
      <c r="G73" s="9"/>
    </row>
    <row r="74" spans="1:9" x14ac:dyDescent="0.15">
      <c r="A74" s="9"/>
      <c r="B74" s="9"/>
      <c r="C74" s="9"/>
      <c r="D74" s="9"/>
      <c r="E74" s="9"/>
      <c r="F74" s="9"/>
      <c r="G74" s="9"/>
    </row>
    <row r="75" spans="1:9" x14ac:dyDescent="0.15">
      <c r="A75" s="9"/>
      <c r="B75" s="9"/>
      <c r="C75" s="9"/>
      <c r="D75" s="9"/>
      <c r="E75" s="9"/>
      <c r="F75" s="9"/>
      <c r="G75" s="9"/>
    </row>
    <row r="76" spans="1:9" x14ac:dyDescent="0.15">
      <c r="A76" s="9"/>
      <c r="B76" s="9"/>
      <c r="C76" s="9"/>
      <c r="D76" s="9"/>
      <c r="E76" s="9"/>
      <c r="F76" s="9"/>
      <c r="G76" s="9"/>
    </row>
    <row r="77" spans="1:9" x14ac:dyDescent="0.15">
      <c r="A77" s="9"/>
      <c r="B77" s="9"/>
      <c r="C77" s="9"/>
      <c r="D77" s="9"/>
      <c r="E77" s="9"/>
      <c r="F77" s="9"/>
      <c r="G77" s="9"/>
    </row>
    <row r="78" spans="1:9" x14ac:dyDescent="0.15">
      <c r="A78" s="9"/>
      <c r="B78" s="9"/>
      <c r="C78" s="9"/>
      <c r="D78" s="9"/>
      <c r="E78" s="9"/>
      <c r="F78" s="9"/>
      <c r="G78" s="9"/>
    </row>
    <row r="79" spans="1:9" x14ac:dyDescent="0.15">
      <c r="A79" s="9"/>
      <c r="B79" s="9"/>
      <c r="C79" s="9"/>
      <c r="D79" s="9"/>
      <c r="E79" s="9"/>
      <c r="F79" s="9"/>
      <c r="G79" s="9"/>
    </row>
    <row r="80" spans="1:9" x14ac:dyDescent="0.15">
      <c r="A80" s="9"/>
      <c r="B80" s="9"/>
      <c r="C80" s="9"/>
      <c r="D80" s="9"/>
      <c r="E80" s="9"/>
      <c r="F80" s="9"/>
      <c r="G80" s="9"/>
    </row>
    <row r="81" spans="1:7" x14ac:dyDescent="0.15">
      <c r="A81" s="9"/>
      <c r="B81" s="9"/>
      <c r="C81" s="9"/>
      <c r="D81" s="9"/>
      <c r="E81" s="9"/>
      <c r="F81" s="9"/>
      <c r="G81" s="9"/>
    </row>
    <row r="82" spans="1:7" x14ac:dyDescent="0.15">
      <c r="A82" s="9"/>
      <c r="B82" s="9"/>
      <c r="C82" s="9"/>
      <c r="D82" s="9"/>
      <c r="E82" s="9"/>
      <c r="F82" s="9"/>
      <c r="G82" s="9"/>
    </row>
    <row r="83" spans="1:7" x14ac:dyDescent="0.15">
      <c r="A83" s="9"/>
      <c r="B83" s="9"/>
      <c r="C83" s="9"/>
      <c r="D83" s="9"/>
      <c r="E83" s="9"/>
      <c r="F83" s="9"/>
      <c r="G83" s="9"/>
    </row>
    <row r="84" spans="1:7" x14ac:dyDescent="0.15">
      <c r="A84" s="9"/>
      <c r="B84" s="9"/>
      <c r="C84" s="9"/>
      <c r="D84" s="9"/>
      <c r="E84" s="9"/>
      <c r="F84" s="9"/>
      <c r="G84" s="9"/>
    </row>
    <row r="85" spans="1:7" x14ac:dyDescent="0.15">
      <c r="A85" s="9"/>
      <c r="B85" s="9"/>
      <c r="C85" s="9"/>
      <c r="D85" s="9"/>
      <c r="E85" s="9"/>
      <c r="F85" s="9"/>
      <c r="G85" s="9"/>
    </row>
    <row r="86" spans="1:7" x14ac:dyDescent="0.15">
      <c r="A86" s="9"/>
      <c r="B86" s="9"/>
      <c r="C86" s="9"/>
      <c r="D86" s="9"/>
      <c r="E86" s="9"/>
      <c r="F86" s="9"/>
      <c r="G86" s="9"/>
    </row>
    <row r="87" spans="1:7" x14ac:dyDescent="0.15">
      <c r="A87" s="9"/>
      <c r="B87" s="9"/>
      <c r="C87" s="9"/>
      <c r="D87" s="9"/>
      <c r="E87" s="9"/>
      <c r="F87" s="9"/>
      <c r="G87" s="9"/>
    </row>
    <row r="88" spans="1:7" x14ac:dyDescent="0.15">
      <c r="A88" s="9"/>
      <c r="B88" s="9"/>
      <c r="C88" s="9"/>
      <c r="D88" s="9"/>
      <c r="E88" s="9"/>
      <c r="F88" s="9"/>
      <c r="G88" s="9"/>
    </row>
    <row r="89" spans="1:7" x14ac:dyDescent="0.15">
      <c r="A89" s="9"/>
      <c r="B89" s="9"/>
      <c r="C89" s="9"/>
      <c r="D89" s="9"/>
      <c r="E89" s="9"/>
      <c r="F89" s="9"/>
      <c r="G89" s="9"/>
    </row>
    <row r="90" spans="1:7" x14ac:dyDescent="0.15">
      <c r="A90" s="9"/>
      <c r="B90" s="9"/>
      <c r="C90" s="9"/>
      <c r="D90" s="9"/>
      <c r="E90" s="9"/>
      <c r="F90" s="9"/>
      <c r="G90" s="9"/>
    </row>
    <row r="91" spans="1:7" x14ac:dyDescent="0.15">
      <c r="A91" s="9"/>
      <c r="B91" s="9"/>
      <c r="C91" s="9"/>
      <c r="D91" s="9"/>
      <c r="E91" s="9"/>
      <c r="F91" s="9"/>
      <c r="G91" s="9"/>
    </row>
    <row r="92" spans="1:7" x14ac:dyDescent="0.15">
      <c r="A92" s="9"/>
      <c r="B92" s="9"/>
      <c r="C92" s="9"/>
      <c r="D92" s="9"/>
      <c r="E92" s="9"/>
      <c r="F92" s="9"/>
      <c r="G92" s="9"/>
    </row>
    <row r="93" spans="1:7" x14ac:dyDescent="0.15">
      <c r="A93" s="9"/>
      <c r="B93" s="9"/>
      <c r="C93" s="9"/>
      <c r="D93" s="9"/>
      <c r="E93" s="9"/>
      <c r="F93" s="9"/>
      <c r="G93" s="9"/>
    </row>
    <row r="94" spans="1:7" x14ac:dyDescent="0.15">
      <c r="A94" s="9"/>
      <c r="B94" s="9"/>
      <c r="C94" s="9"/>
      <c r="D94" s="9"/>
      <c r="E94" s="9"/>
      <c r="F94" s="9"/>
      <c r="G94" s="9"/>
    </row>
    <row r="95" spans="1:7" x14ac:dyDescent="0.15">
      <c r="A95" s="9"/>
      <c r="B95" s="9"/>
      <c r="C95" s="9"/>
      <c r="D95" s="9"/>
      <c r="E95" s="9"/>
      <c r="F95" s="9"/>
      <c r="G95" s="9"/>
    </row>
    <row r="96" spans="1:7" x14ac:dyDescent="0.15">
      <c r="A96" s="9"/>
      <c r="B96" s="9"/>
      <c r="C96" s="9"/>
      <c r="D96" s="9"/>
      <c r="E96" s="9"/>
      <c r="F96" s="9"/>
      <c r="G96" s="9"/>
    </row>
    <row r="97" spans="1:7" x14ac:dyDescent="0.15">
      <c r="A97" s="9"/>
      <c r="B97" s="9"/>
      <c r="C97" s="9"/>
      <c r="D97" s="9"/>
      <c r="E97" s="9"/>
      <c r="F97" s="9"/>
      <c r="G97" s="9"/>
    </row>
    <row r="98" spans="1:7" x14ac:dyDescent="0.15">
      <c r="A98" s="9"/>
      <c r="B98" s="9"/>
      <c r="C98" s="9"/>
      <c r="D98" s="9"/>
      <c r="E98" s="9"/>
      <c r="F98" s="9"/>
      <c r="G98" s="9"/>
    </row>
    <row r="99" spans="1:7" x14ac:dyDescent="0.15">
      <c r="A99" s="9"/>
      <c r="B99" s="9"/>
      <c r="C99" s="9"/>
      <c r="D99" s="9"/>
      <c r="E99" s="9"/>
      <c r="F99" s="9"/>
      <c r="G99" s="9"/>
    </row>
    <row r="100" spans="1:7" x14ac:dyDescent="0.15">
      <c r="A100" s="9"/>
      <c r="B100" s="9"/>
      <c r="C100" s="9"/>
      <c r="D100" s="9"/>
      <c r="E100" s="9"/>
      <c r="F100" s="9"/>
      <c r="G100" s="9"/>
    </row>
    <row r="101" spans="1:7" x14ac:dyDescent="0.15">
      <c r="A101" s="9"/>
      <c r="B101" s="9"/>
      <c r="C101" s="9"/>
      <c r="D101" s="9"/>
      <c r="E101" s="9"/>
      <c r="F101" s="9"/>
      <c r="G101" s="9"/>
    </row>
    <row r="102" spans="1:7" x14ac:dyDescent="0.15">
      <c r="A102" s="9"/>
      <c r="B102" s="9"/>
      <c r="C102" s="9"/>
      <c r="D102" s="9"/>
      <c r="E102" s="9"/>
      <c r="F102" s="9"/>
      <c r="G102" s="9"/>
    </row>
    <row r="103" spans="1:7" x14ac:dyDescent="0.15">
      <c r="A103" s="9"/>
      <c r="B103" s="9"/>
      <c r="C103" s="9"/>
      <c r="D103" s="9"/>
      <c r="E103" s="9"/>
      <c r="F103" s="9"/>
      <c r="G103" s="9"/>
    </row>
    <row r="104" spans="1:7" x14ac:dyDescent="0.15">
      <c r="A104" s="9"/>
      <c r="B104" s="9"/>
      <c r="C104" s="9"/>
      <c r="D104" s="9"/>
      <c r="E104" s="9"/>
      <c r="F104" s="9"/>
      <c r="G104" s="9"/>
    </row>
    <row r="105" spans="1:7" x14ac:dyDescent="0.15">
      <c r="A105" s="9"/>
      <c r="B105" s="9"/>
      <c r="C105" s="9"/>
      <c r="D105" s="9"/>
      <c r="E105" s="9"/>
      <c r="F105" s="9"/>
      <c r="G105" s="9"/>
    </row>
    <row r="106" spans="1:7" x14ac:dyDescent="0.15">
      <c r="A106" s="9"/>
      <c r="B106" s="9"/>
      <c r="C106" s="9"/>
      <c r="D106" s="9"/>
      <c r="E106" s="9"/>
      <c r="F106" s="9"/>
      <c r="G106" s="9"/>
    </row>
    <row r="107" spans="1:7" x14ac:dyDescent="0.15">
      <c r="A107" s="9"/>
      <c r="B107" s="9"/>
      <c r="C107" s="9"/>
      <c r="D107" s="9"/>
      <c r="E107" s="9"/>
      <c r="F107" s="9"/>
      <c r="G107" s="9"/>
    </row>
    <row r="108" spans="1:7" x14ac:dyDescent="0.15">
      <c r="A108" s="9"/>
      <c r="B108" s="9"/>
      <c r="C108" s="9"/>
      <c r="D108" s="9"/>
      <c r="E108" s="9"/>
      <c r="F108" s="9"/>
      <c r="G108" s="9"/>
    </row>
    <row r="109" spans="1:7" x14ac:dyDescent="0.15">
      <c r="A109" s="9"/>
      <c r="B109" s="9"/>
      <c r="C109" s="9"/>
      <c r="D109" s="9"/>
      <c r="E109" s="9"/>
      <c r="F109" s="9"/>
      <c r="G109" s="9"/>
    </row>
    <row r="110" spans="1:7" x14ac:dyDescent="0.15">
      <c r="A110" s="9"/>
      <c r="B110" s="9"/>
      <c r="C110" s="9"/>
      <c r="D110" s="9"/>
      <c r="E110" s="9"/>
      <c r="F110" s="9"/>
      <c r="G110" s="9"/>
    </row>
    <row r="111" spans="1:7" x14ac:dyDescent="0.15">
      <c r="A111" s="9"/>
      <c r="B111" s="9"/>
      <c r="C111" s="9"/>
      <c r="D111" s="9"/>
      <c r="E111" s="9"/>
      <c r="F111" s="9"/>
      <c r="G111" s="9"/>
    </row>
    <row r="112" spans="1:7" x14ac:dyDescent="0.15">
      <c r="A112" s="9"/>
      <c r="B112" s="9"/>
      <c r="C112" s="9"/>
      <c r="D112" s="9"/>
      <c r="E112" s="9"/>
      <c r="F112" s="9"/>
      <c r="G112" s="9"/>
    </row>
    <row r="113" spans="1:7" x14ac:dyDescent="0.15">
      <c r="A113" s="9"/>
      <c r="B113" s="9"/>
      <c r="C113" s="9"/>
      <c r="D113" s="9"/>
      <c r="E113" s="9"/>
      <c r="F113" s="9"/>
      <c r="G113" s="9"/>
    </row>
    <row r="114" spans="1:7" x14ac:dyDescent="0.15">
      <c r="A114" s="9"/>
      <c r="B114" s="9"/>
      <c r="C114" s="9"/>
      <c r="D114" s="9"/>
      <c r="E114" s="9"/>
      <c r="F114" s="9"/>
      <c r="G114" s="9"/>
    </row>
    <row r="115" spans="1:7" x14ac:dyDescent="0.15">
      <c r="A115" s="9"/>
      <c r="B115" s="9"/>
      <c r="C115" s="9"/>
      <c r="D115" s="9"/>
      <c r="E115" s="9"/>
      <c r="F115" s="9"/>
      <c r="G115" s="9"/>
    </row>
    <row r="116" spans="1:7" x14ac:dyDescent="0.15">
      <c r="A116" s="9"/>
      <c r="B116" s="9"/>
      <c r="C116" s="9"/>
      <c r="D116" s="9"/>
      <c r="E116" s="9"/>
      <c r="F116" s="9"/>
      <c r="G116" s="9"/>
    </row>
    <row r="117" spans="1:7" x14ac:dyDescent="0.15">
      <c r="A117" s="9"/>
      <c r="B117" s="9"/>
      <c r="C117" s="9"/>
      <c r="D117" s="9"/>
      <c r="E117" s="9"/>
      <c r="F117" s="9"/>
      <c r="G117" s="9"/>
    </row>
    <row r="118" spans="1:7" x14ac:dyDescent="0.15">
      <c r="A118" s="9"/>
      <c r="B118" s="9"/>
      <c r="C118" s="9"/>
      <c r="D118" s="9"/>
      <c r="E118" s="9"/>
      <c r="F118" s="9"/>
      <c r="G118" s="9"/>
    </row>
    <row r="119" spans="1:7" x14ac:dyDescent="0.15">
      <c r="A119" s="9"/>
      <c r="B119" s="9"/>
      <c r="C119" s="9"/>
      <c r="D119" s="9"/>
      <c r="E119" s="9"/>
      <c r="F119" s="9"/>
      <c r="G119" s="9"/>
    </row>
    <row r="120" spans="1:7" x14ac:dyDescent="0.15">
      <c r="A120" s="9"/>
      <c r="B120" s="9"/>
      <c r="C120" s="9"/>
      <c r="D120" s="9"/>
      <c r="E120" s="9"/>
      <c r="F120" s="9"/>
      <c r="G120" s="9"/>
    </row>
    <row r="121" spans="1:7" x14ac:dyDescent="0.15">
      <c r="A121" s="9"/>
      <c r="B121" s="9"/>
      <c r="C121" s="9"/>
      <c r="D121" s="9"/>
      <c r="E121" s="9"/>
      <c r="F121" s="9"/>
      <c r="G121" s="9"/>
    </row>
    <row r="122" spans="1:7" x14ac:dyDescent="0.15">
      <c r="A122" s="9"/>
      <c r="B122" s="9"/>
      <c r="C122" s="9"/>
      <c r="D122" s="9"/>
      <c r="E122" s="9"/>
      <c r="F122" s="9"/>
      <c r="G122" s="9"/>
    </row>
    <row r="123" spans="1:7" x14ac:dyDescent="0.15">
      <c r="A123" s="9"/>
      <c r="B123" s="9"/>
      <c r="C123" s="9"/>
      <c r="D123" s="9"/>
      <c r="E123" s="9"/>
      <c r="F123" s="9"/>
      <c r="G123" s="9"/>
    </row>
    <row r="124" spans="1:7" x14ac:dyDescent="0.15">
      <c r="A124" s="9"/>
      <c r="B124" s="9"/>
      <c r="C124" s="9"/>
      <c r="D124" s="9"/>
      <c r="E124" s="9"/>
      <c r="F124" s="9"/>
      <c r="G124" s="9"/>
    </row>
    <row r="125" spans="1:7" x14ac:dyDescent="0.15">
      <c r="A125" s="9"/>
      <c r="B125" s="9"/>
      <c r="C125" s="9"/>
      <c r="D125" s="9"/>
      <c r="E125" s="9"/>
      <c r="F125" s="9"/>
      <c r="G125" s="9"/>
    </row>
    <row r="126" spans="1:7" x14ac:dyDescent="0.15">
      <c r="A126" s="9"/>
      <c r="B126" s="9"/>
      <c r="C126" s="9"/>
      <c r="D126" s="9"/>
      <c r="E126" s="9"/>
      <c r="F126" s="9"/>
      <c r="G126" s="9"/>
    </row>
    <row r="127" spans="1:7" x14ac:dyDescent="0.15">
      <c r="A127" s="9"/>
      <c r="B127" s="9"/>
      <c r="C127" s="9"/>
      <c r="D127" s="9"/>
      <c r="E127" s="9"/>
      <c r="F127" s="9"/>
      <c r="G127" s="9"/>
    </row>
    <row r="128" spans="1:7" x14ac:dyDescent="0.15">
      <c r="A128" s="9"/>
      <c r="B128" s="9"/>
      <c r="C128" s="9"/>
      <c r="D128" s="9"/>
      <c r="E128" s="9"/>
      <c r="F128" s="9"/>
      <c r="G128" s="9"/>
    </row>
    <row r="129" spans="1:7" x14ac:dyDescent="0.15">
      <c r="A129" s="9"/>
      <c r="B129" s="9"/>
      <c r="C129" s="9"/>
      <c r="D129" s="9"/>
      <c r="E129" s="9"/>
      <c r="F129" s="9"/>
      <c r="G129" s="9"/>
    </row>
    <row r="130" spans="1:7" x14ac:dyDescent="0.15">
      <c r="A130" s="9"/>
      <c r="B130" s="9"/>
      <c r="C130" s="9"/>
      <c r="D130" s="9"/>
      <c r="E130" s="9"/>
      <c r="F130" s="9"/>
      <c r="G130" s="9"/>
    </row>
    <row r="131" spans="1:7" x14ac:dyDescent="0.15">
      <c r="A131" s="9"/>
      <c r="B131" s="9"/>
      <c r="C131" s="9"/>
      <c r="D131" s="9"/>
      <c r="E131" s="9"/>
      <c r="F131" s="9"/>
      <c r="G131" s="9"/>
    </row>
    <row r="132" spans="1:7" x14ac:dyDescent="0.15">
      <c r="A132" s="9"/>
      <c r="B132" s="9"/>
      <c r="C132" s="9"/>
      <c r="D132" s="9"/>
      <c r="E132" s="9"/>
      <c r="F132" s="9"/>
      <c r="G132" s="9"/>
    </row>
    <row r="133" spans="1:7" x14ac:dyDescent="0.15">
      <c r="A133" s="9"/>
      <c r="B133" s="9"/>
      <c r="C133" s="9"/>
      <c r="D133" s="9"/>
      <c r="E133" s="9"/>
      <c r="F133" s="9"/>
      <c r="G133" s="9"/>
    </row>
    <row r="134" spans="1:7" x14ac:dyDescent="0.15">
      <c r="A134" s="9"/>
      <c r="B134" s="9"/>
      <c r="C134" s="9"/>
      <c r="D134" s="9"/>
      <c r="E134" s="9"/>
      <c r="F134" s="9"/>
      <c r="G134" s="9"/>
    </row>
    <row r="135" spans="1:7" x14ac:dyDescent="0.15">
      <c r="A135" s="9"/>
      <c r="B135" s="9"/>
      <c r="C135" s="9"/>
      <c r="D135" s="9"/>
      <c r="E135" s="9"/>
      <c r="F135" s="9"/>
      <c r="G135" s="9"/>
    </row>
    <row r="136" spans="1:7" x14ac:dyDescent="0.15">
      <c r="A136" s="9"/>
      <c r="B136" s="9"/>
      <c r="C136" s="9"/>
      <c r="D136" s="9"/>
      <c r="E136" s="9"/>
      <c r="F136" s="9"/>
      <c r="G136" s="9"/>
    </row>
    <row r="137" spans="1:7" x14ac:dyDescent="0.15">
      <c r="A137" s="9"/>
      <c r="B137" s="9"/>
      <c r="C137" s="9"/>
      <c r="D137" s="9"/>
      <c r="E137" s="9"/>
      <c r="F137" s="9"/>
      <c r="G137" s="9"/>
    </row>
    <row r="138" spans="1:7" x14ac:dyDescent="0.15">
      <c r="A138" s="9"/>
      <c r="B138" s="9"/>
      <c r="C138" s="9"/>
      <c r="D138" s="9"/>
      <c r="E138" s="9"/>
      <c r="F138" s="9"/>
      <c r="G138" s="9"/>
    </row>
    <row r="139" spans="1:7" x14ac:dyDescent="0.15">
      <c r="A139" s="9"/>
      <c r="B139" s="9"/>
      <c r="C139" s="9"/>
      <c r="D139" s="9"/>
      <c r="E139" s="9"/>
      <c r="F139" s="9"/>
      <c r="G139" s="9"/>
    </row>
    <row r="140" spans="1:7" x14ac:dyDescent="0.15">
      <c r="A140" s="9"/>
      <c r="B140" s="9"/>
      <c r="C140" s="9"/>
      <c r="D140" s="9"/>
      <c r="E140" s="9"/>
      <c r="F140" s="9"/>
      <c r="G140" s="9"/>
    </row>
    <row r="141" spans="1:7" x14ac:dyDescent="0.15">
      <c r="A141" s="9"/>
      <c r="B141" s="9"/>
      <c r="C141" s="9"/>
      <c r="D141" s="9"/>
      <c r="E141" s="9"/>
      <c r="F141" s="9"/>
      <c r="G141" s="9"/>
    </row>
    <row r="142" spans="1:7" x14ac:dyDescent="0.15">
      <c r="A142" s="9"/>
      <c r="B142" s="9"/>
      <c r="C142" s="9"/>
      <c r="D142" s="9"/>
      <c r="E142" s="9"/>
      <c r="F142" s="9"/>
      <c r="G142" s="9"/>
    </row>
    <row r="143" spans="1:7" x14ac:dyDescent="0.15">
      <c r="A143" s="9"/>
      <c r="B143" s="9"/>
      <c r="C143" s="9"/>
      <c r="D143" s="9"/>
      <c r="E143" s="9"/>
      <c r="F143" s="9"/>
      <c r="G143" s="9"/>
    </row>
    <row r="144" spans="1:7" x14ac:dyDescent="0.15">
      <c r="A144" s="9"/>
      <c r="B144" s="9"/>
      <c r="C144" s="9"/>
      <c r="D144" s="9"/>
      <c r="E144" s="9"/>
      <c r="F144" s="9"/>
      <c r="G144" s="9"/>
    </row>
    <row r="145" spans="1:7" x14ac:dyDescent="0.15">
      <c r="A145" s="9"/>
      <c r="B145" s="9"/>
      <c r="C145" s="9"/>
      <c r="D145" s="9"/>
      <c r="E145" s="9"/>
      <c r="F145" s="9"/>
      <c r="G145" s="9"/>
    </row>
    <row r="146" spans="1:7" x14ac:dyDescent="0.15">
      <c r="A146" s="9"/>
      <c r="B146" s="9"/>
      <c r="C146" s="9"/>
      <c r="D146" s="9"/>
      <c r="E146" s="9"/>
      <c r="F146" s="9"/>
      <c r="G146" s="9"/>
    </row>
    <row r="147" spans="1:7" x14ac:dyDescent="0.15">
      <c r="A147" s="9"/>
      <c r="B147" s="9"/>
      <c r="C147" s="9"/>
      <c r="D147" s="9"/>
      <c r="E147" s="9"/>
      <c r="F147" s="9"/>
      <c r="G147" s="9"/>
    </row>
    <row r="148" spans="1:7" x14ac:dyDescent="0.15">
      <c r="A148" s="9"/>
      <c r="B148" s="9"/>
      <c r="C148" s="9"/>
      <c r="D148" s="9"/>
      <c r="E148" s="9"/>
      <c r="F148" s="9"/>
      <c r="G148" s="9"/>
    </row>
    <row r="149" spans="1:7" x14ac:dyDescent="0.15">
      <c r="A149" s="9"/>
      <c r="B149" s="9"/>
      <c r="C149" s="9"/>
      <c r="D149" s="9"/>
      <c r="E149" s="9"/>
      <c r="F149" s="9"/>
      <c r="G149" s="9"/>
    </row>
    <row r="150" spans="1:7" x14ac:dyDescent="0.15">
      <c r="A150" s="9"/>
      <c r="B150" s="9"/>
      <c r="C150" s="9"/>
      <c r="D150" s="9"/>
      <c r="E150" s="9"/>
      <c r="F150" s="9"/>
      <c r="G150" s="9"/>
    </row>
    <row r="151" spans="1:7" x14ac:dyDescent="0.15">
      <c r="A151" s="9"/>
      <c r="B151" s="9"/>
      <c r="C151" s="9"/>
      <c r="D151" s="9"/>
      <c r="E151" s="9"/>
      <c r="F151" s="9"/>
      <c r="G151" s="9"/>
    </row>
    <row r="152" spans="1:7" x14ac:dyDescent="0.15">
      <c r="A152" s="9"/>
      <c r="B152" s="9"/>
      <c r="C152" s="9"/>
      <c r="D152" s="9"/>
      <c r="E152" s="9"/>
      <c r="F152" s="9"/>
      <c r="G152" s="9"/>
    </row>
    <row r="153" spans="1:7" x14ac:dyDescent="0.15">
      <c r="A153" s="9"/>
      <c r="B153" s="9"/>
      <c r="C153" s="9"/>
      <c r="D153" s="9"/>
      <c r="E153" s="9"/>
      <c r="F153" s="9"/>
      <c r="G153" s="9"/>
    </row>
    <row r="154" spans="1:7" x14ac:dyDescent="0.15">
      <c r="A154" s="9"/>
      <c r="B154" s="9"/>
      <c r="C154" s="9"/>
      <c r="D154" s="9"/>
      <c r="E154" s="9"/>
      <c r="F154" s="9"/>
      <c r="G154" s="9"/>
    </row>
    <row r="155" spans="1:7" x14ac:dyDescent="0.15">
      <c r="A155" s="9"/>
      <c r="B155" s="9"/>
      <c r="C155" s="9"/>
      <c r="D155" s="9"/>
      <c r="E155" s="9"/>
      <c r="F155" s="9"/>
      <c r="G155" s="9"/>
    </row>
    <row r="156" spans="1:7" x14ac:dyDescent="0.15">
      <c r="A156" s="9"/>
      <c r="B156" s="9"/>
      <c r="C156" s="9"/>
      <c r="D156" s="9"/>
      <c r="E156" s="9"/>
      <c r="F156" s="9"/>
      <c r="G156" s="9"/>
    </row>
    <row r="157" spans="1:7" x14ac:dyDescent="0.15">
      <c r="A157" s="9"/>
      <c r="B157" s="9"/>
      <c r="C157" s="9"/>
      <c r="D157" s="9"/>
      <c r="E157" s="9"/>
      <c r="F157" s="9"/>
      <c r="G157" s="9"/>
    </row>
    <row r="158" spans="1:7" x14ac:dyDescent="0.15">
      <c r="A158" s="9"/>
      <c r="B158" s="9"/>
      <c r="C158" s="9"/>
      <c r="D158" s="9"/>
      <c r="E158" s="9"/>
      <c r="F158" s="9"/>
      <c r="G158" s="9"/>
    </row>
    <row r="159" spans="1:7" x14ac:dyDescent="0.15">
      <c r="A159" s="9"/>
      <c r="B159" s="9"/>
      <c r="C159" s="9"/>
      <c r="D159" s="9"/>
      <c r="E159" s="9"/>
      <c r="F159" s="9"/>
      <c r="G159" s="9"/>
    </row>
    <row r="160" spans="1:7" x14ac:dyDescent="0.15">
      <c r="A160" s="9"/>
      <c r="B160" s="9"/>
      <c r="C160" s="9"/>
      <c r="D160" s="9"/>
      <c r="E160" s="9"/>
      <c r="F160" s="9"/>
      <c r="G160" s="9"/>
    </row>
    <row r="161" spans="1:7" x14ac:dyDescent="0.15">
      <c r="A161" s="9"/>
      <c r="B161" s="9"/>
      <c r="C161" s="9"/>
      <c r="D161" s="9"/>
      <c r="E161" s="9"/>
      <c r="F161" s="9"/>
      <c r="G161" s="9"/>
    </row>
    <row r="162" spans="1:7" x14ac:dyDescent="0.15">
      <c r="A162" s="9"/>
      <c r="B162" s="9"/>
      <c r="C162" s="9"/>
      <c r="D162" s="9"/>
      <c r="E162" s="9"/>
      <c r="F162" s="9"/>
      <c r="G162" s="9"/>
    </row>
    <row r="163" spans="1:7" x14ac:dyDescent="0.15">
      <c r="A163" s="9"/>
      <c r="B163" s="9"/>
      <c r="C163" s="9"/>
      <c r="D163" s="9"/>
      <c r="E163" s="9"/>
      <c r="F163" s="9"/>
      <c r="G163" s="9"/>
    </row>
    <row r="164" spans="1:7" x14ac:dyDescent="0.15">
      <c r="A164" s="9"/>
      <c r="B164" s="9"/>
      <c r="C164" s="9"/>
      <c r="D164" s="9"/>
      <c r="E164" s="9"/>
      <c r="F164" s="9"/>
      <c r="G164" s="9"/>
    </row>
    <row r="165" spans="1:7" x14ac:dyDescent="0.15">
      <c r="A165" s="9"/>
      <c r="B165" s="9"/>
      <c r="C165" s="9"/>
      <c r="D165" s="9"/>
      <c r="E165" s="9"/>
      <c r="F165" s="9"/>
      <c r="G165" s="9"/>
    </row>
    <row r="166" spans="1:7" x14ac:dyDescent="0.15">
      <c r="A166" s="9"/>
      <c r="B166" s="9"/>
      <c r="C166" s="9"/>
      <c r="D166" s="9"/>
      <c r="E166" s="9"/>
      <c r="F166" s="9"/>
      <c r="G166" s="9"/>
    </row>
    <row r="167" spans="1:7" x14ac:dyDescent="0.15">
      <c r="A167" s="9"/>
      <c r="B167" s="9"/>
      <c r="C167" s="9"/>
      <c r="D167" s="9"/>
      <c r="E167" s="9"/>
      <c r="F167" s="9"/>
      <c r="G167" s="9"/>
    </row>
    <row r="168" spans="1:7" x14ac:dyDescent="0.15">
      <c r="A168" s="9"/>
      <c r="B168" s="9"/>
      <c r="C168" s="9"/>
      <c r="D168" s="9"/>
      <c r="E168" s="9"/>
      <c r="F168" s="9"/>
      <c r="G168" s="9"/>
    </row>
    <row r="169" spans="1:7" x14ac:dyDescent="0.15">
      <c r="A169" s="9"/>
      <c r="B169" s="9"/>
      <c r="C169" s="9"/>
      <c r="D169" s="9"/>
      <c r="E169" s="9"/>
      <c r="F169" s="9"/>
      <c r="G169" s="9"/>
    </row>
    <row r="170" spans="1:7" x14ac:dyDescent="0.15">
      <c r="A170" s="9"/>
      <c r="B170" s="9"/>
      <c r="C170" s="9"/>
      <c r="D170" s="9"/>
      <c r="E170" s="9"/>
      <c r="F170" s="9"/>
      <c r="G170" s="9"/>
    </row>
    <row r="171" spans="1:7" x14ac:dyDescent="0.15">
      <c r="A171" s="9"/>
      <c r="B171" s="9"/>
      <c r="C171" s="9"/>
      <c r="D171" s="9"/>
      <c r="E171" s="9"/>
      <c r="F171" s="9"/>
      <c r="G171" s="9"/>
    </row>
  </sheetData>
  <sheetProtection formatCells="0" formatColumns="0" formatRows="0" insertColumns="0" insertRows="0" insertHyperlinks="0" deleteColumns="0" deleteRows="0" sort="0" autoFilter="0" pivotTables="0"/>
  <protectedRanges>
    <protectedRange sqref="I2 C17:D17" name="Range1"/>
  </protectedRanges>
  <mergeCells count="34">
    <mergeCell ref="A53:H53"/>
    <mergeCell ref="B47:C47"/>
    <mergeCell ref="B48:C48"/>
    <mergeCell ref="B49:C49"/>
    <mergeCell ref="B50:C50"/>
    <mergeCell ref="B36:C36"/>
    <mergeCell ref="B37:C37"/>
    <mergeCell ref="B44:C44"/>
    <mergeCell ref="B45:C45"/>
    <mergeCell ref="B46:C46"/>
    <mergeCell ref="G7:H7"/>
    <mergeCell ref="A52:H52"/>
    <mergeCell ref="B25:C25"/>
    <mergeCell ref="B26:C26"/>
    <mergeCell ref="B27:C27"/>
    <mergeCell ref="B28:C28"/>
    <mergeCell ref="B29:C29"/>
    <mergeCell ref="B30:C30"/>
    <mergeCell ref="B31:C31"/>
    <mergeCell ref="B32:C32"/>
    <mergeCell ref="B38:C38"/>
    <mergeCell ref="B39:C39"/>
    <mergeCell ref="B40:C40"/>
    <mergeCell ref="B43:C43"/>
    <mergeCell ref="B33:C33"/>
    <mergeCell ref="B35:C35"/>
    <mergeCell ref="G3:H3"/>
    <mergeCell ref="G4:H4"/>
    <mergeCell ref="G5:H5"/>
    <mergeCell ref="G6:H6"/>
    <mergeCell ref="C3:D3"/>
    <mergeCell ref="C4:D4"/>
    <mergeCell ref="C5:D5"/>
    <mergeCell ref="C6:D6"/>
  </mergeCells>
  <phoneticPr fontId="2" type="noConversion"/>
  <conditionalFormatting sqref="K12:L13 I2 C17:D17 D32:D33 D34:M34">
    <cfRule type="cellIs" priority="1" stopIfTrue="1" operator="notEqual">
      <formula>0</formula>
    </cfRule>
    <cfRule type="expression" dxfId="28" priority="2" stopIfTrue="1">
      <formula>+Highlighting_Flag</formula>
    </cfRule>
  </conditionalFormatting>
  <conditionalFormatting sqref="J9:L9">
    <cfRule type="expression" dxfId="27" priority="3" stopIfTrue="1">
      <formula>+Highlighting_Flag</formula>
    </cfRule>
  </conditionalFormatting>
  <conditionalFormatting sqref="J14:L14">
    <cfRule type="expression" dxfId="26" priority="4" stopIfTrue="1">
      <formula>+Highlighting_Flag</formula>
    </cfRule>
  </conditionalFormatting>
  <conditionalFormatting sqref="J10:K10">
    <cfRule type="expression" dxfId="25" priority="5" stopIfTrue="1">
      <formula>+Highlighting_Flag</formula>
    </cfRule>
  </conditionalFormatting>
  <conditionalFormatting sqref="J11:L11">
    <cfRule type="expression" dxfId="24" priority="6" stopIfTrue="1">
      <formula>+Highlighting_Flag</formula>
    </cfRule>
  </conditionalFormatting>
  <conditionalFormatting sqref="J12:J13">
    <cfRule type="expression" dxfId="23" priority="7" stopIfTrue="1">
      <formula>+Highlighting_Flag</formula>
    </cfRule>
  </conditionalFormatting>
  <conditionalFormatting sqref="C3:D5">
    <cfRule type="expression" dxfId="22" priority="8" stopIfTrue="1">
      <formula>+AND($C3&lt;0.001,Highlighting_Flag&gt;0)</formula>
    </cfRule>
  </conditionalFormatting>
  <conditionalFormatting sqref="C18:D18 C15:D15">
    <cfRule type="expression" dxfId="21" priority="9" stopIfTrue="1">
      <formula>+AND(C15&lt;0.000001,Highlighting_Flag&gt;0)</formula>
    </cfRule>
  </conditionalFormatting>
  <conditionalFormatting sqref="D37:M40 D35:M35 D25:N31 E32:M33">
    <cfRule type="expression" dxfId="20" priority="10" stopIfTrue="1">
      <formula>+AND(D25&lt;0.00001,Highlighting_Flag&gt;0)</formula>
    </cfRule>
  </conditionalFormatting>
  <conditionalFormatting sqref="D36:M36">
    <cfRule type="expression" dxfId="19" priority="11" stopIfTrue="1">
      <formula>+AND(D36&lt;0.00001,Highlighting_Flag&gt;0)</formula>
    </cfRule>
  </conditionalFormatting>
  <conditionalFormatting sqref="C19:D19">
    <cfRule type="expression" dxfId="18" priority="12" stopIfTrue="1">
      <formula>+AND(C19&lt;0.000001,Highlighting_Flag&gt;0)</formula>
    </cfRule>
  </conditionalFormatting>
  <conditionalFormatting sqref="C16:D16">
    <cfRule type="expression" dxfId="17" priority="13" stopIfTrue="1">
      <formula>+AND(C16=12,Highlighting_Flag&gt;0)</formula>
    </cfRule>
  </conditionalFormatting>
  <conditionalFormatting sqref="F16 F12 G3:H7">
    <cfRule type="expression" dxfId="16" priority="14" stopIfTrue="1">
      <formula>+Highlighting_Flag&gt;0</formula>
    </cfRule>
  </conditionalFormatting>
  <conditionalFormatting sqref="F14">
    <cfRule type="expression" dxfId="15" priority="15" stopIfTrue="1">
      <formula>+Highlighting_Flag&gt;0</formula>
    </cfRule>
  </conditionalFormatting>
  <conditionalFormatting sqref="L10">
    <cfRule type="expression" dxfId="14" priority="16" stopIfTrue="1">
      <formula>+Highlighting_Flag</formula>
    </cfRule>
  </conditionalFormatting>
  <conditionalFormatting sqref="F15">
    <cfRule type="expression" dxfId="13" priority="17" stopIfTrue="1">
      <formula>+Highlighting_Flag&gt;0</formula>
    </cfRule>
  </conditionalFormatting>
  <conditionalFormatting sqref="D43:M50">
    <cfRule type="cellIs" priority="18" stopIfTrue="1" operator="notEqual">
      <formula>0</formula>
    </cfRule>
    <cfRule type="expression" dxfId="12" priority="19" stopIfTrue="1">
      <formula>+Highlighting_Flag</formula>
    </cfRule>
  </conditionalFormatting>
  <conditionalFormatting sqref="B40:C40">
    <cfRule type="expression" dxfId="11" priority="20" stopIfTrue="1">
      <formula>+Highlighting_Flag&gt;0</formula>
    </cfRule>
  </conditionalFormatting>
  <conditionalFormatting sqref="C12:D14">
    <cfRule type="expression" dxfId="10" priority="21" stopIfTrue="1">
      <formula>AND(Highlighting_Flag,C12&lt;0.000001)</formula>
    </cfRule>
  </conditionalFormatting>
  <printOptions gridLinesSet="0"/>
  <pageMargins left="0.05" right="0.5" top="0.25" bottom="0.26" header="0.05" footer="0"/>
  <pageSetup scale="56" orientation="portrait" horizontalDpi="4294967292" verticalDpi="300" r:id="rId1"/>
  <headerFooter alignWithMargins="0"/>
  <rowBreaks count="1" manualBreakCount="1">
    <brk id="54" max="13" man="1"/>
  </rowBreaks>
  <colBreaks count="1" manualBreakCount="1">
    <brk id="13" max="5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Button 4">
              <controlPr defaultSize="0" print="0" autoFill="0" autoPict="0" macro="[0]!hilite2">
                <anchor moveWithCells="1" sizeWithCells="1">
                  <from>
                    <xdr:col>8</xdr:col>
                    <xdr:colOff>1041400</xdr:colOff>
                    <xdr:row>15</xdr:row>
                    <xdr:rowOff>25400</xdr:rowOff>
                  </from>
                  <to>
                    <xdr:col>10</xdr:col>
                    <xdr:colOff>558800</xdr:colOff>
                    <xdr:row>17</xdr:row>
                    <xdr:rowOff>127000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P53"/>
  <sheetViews>
    <sheetView showGridLines="0" showRowColHeaders="0" showZeros="0" topLeftCell="A4" zoomScale="140" zoomScaleNormal="140" zoomScalePageLayoutView="140" workbookViewId="0">
      <selection activeCell="G18" sqref="G18"/>
    </sheetView>
  </sheetViews>
  <sheetFormatPr baseColWidth="10" defaultColWidth="9" defaultRowHeight="12" x14ac:dyDescent="0.15"/>
  <cols>
    <col min="1" max="1" width="45.19921875" customWidth="1"/>
    <col min="2" max="11" width="13.796875" customWidth="1"/>
  </cols>
  <sheetData>
    <row r="1" spans="1:7" ht="21" customHeight="1" x14ac:dyDescent="0.25">
      <c r="B1" s="102" t="s">
        <v>84</v>
      </c>
      <c r="D1" s="20"/>
    </row>
    <row r="2" spans="1:7" ht="17.25" customHeight="1" x14ac:dyDescent="0.25">
      <c r="D2" s="20"/>
    </row>
    <row r="3" spans="1:7" ht="12.75" customHeight="1" x14ac:dyDescent="0.2">
      <c r="A3" s="15"/>
      <c r="B3" s="15"/>
      <c r="C3" s="21" t="s">
        <v>85</v>
      </c>
      <c r="D3" s="15"/>
      <c r="E3" s="15"/>
      <c r="F3" s="15"/>
      <c r="G3" s="3"/>
    </row>
    <row r="4" spans="1:7" x14ac:dyDescent="0.15">
      <c r="A4" s="4" t="s">
        <v>86</v>
      </c>
      <c r="B4" s="139">
        <v>1</v>
      </c>
      <c r="C4" s="139">
        <f>+B4+1</f>
        <v>2</v>
      </c>
      <c r="D4" s="139">
        <f>+C4+1</f>
        <v>3</v>
      </c>
      <c r="E4" s="139">
        <f>+D4+1</f>
        <v>4</v>
      </c>
      <c r="F4" s="149">
        <f>+E4+1</f>
        <v>5</v>
      </c>
    </row>
    <row r="5" spans="1:7" ht="13" x14ac:dyDescent="0.15">
      <c r="A5" s="19" t="s">
        <v>87</v>
      </c>
      <c r="B5" s="153">
        <f>FV(CashFlows!C13/CashFlows!C16,Assumptions!D54,CashFlows!C17,-CashFlows!C12)*(Amort_Period_Mtg_1&gt;1)</f>
        <v>1179854.185513319</v>
      </c>
      <c r="C5" s="154">
        <f>FV(CashFlows!$C$13/CashFlows!$C$16,CashFlows!$C$16,CashFlows!$C$17,-B5,0)*(Amort_Period_Mtg_1&gt;2)</f>
        <v>1159619.6276938522</v>
      </c>
      <c r="D5" s="154">
        <f>FV(CashFlows!$C$13/CashFlows!$C$16,CashFlows!$C$16,CashFlows!$C$17,-C5,0)*(Amort_Period_Mtg_1&gt;3)</f>
        <v>1138455.4978283853</v>
      </c>
      <c r="E5" s="154">
        <f>FV(CashFlows!$C$13/CashFlows!$C$16,CashFlows!$C$16,CashFlows!$C$17,-D5,0)*(Amort_Period_Mtg_1&gt;4)</f>
        <v>1116319.0915397627</v>
      </c>
      <c r="F5" s="154">
        <f>FV(CashFlows!$C$13/CashFlows!$C$16,CashFlows!$C$16,CashFlows!$C$17,-E5,0)*(Amort_Period_Mtg_1&gt;5)</f>
        <v>1093165.7426192134</v>
      </c>
    </row>
    <row r="6" spans="1:7" ht="13" x14ac:dyDescent="0.15">
      <c r="A6" t="s">
        <v>88</v>
      </c>
      <c r="B6" s="153">
        <f>FV(CashFlows!D13/CashFlows!D16,Assumptions!E54,CashFlows!D17,-CashFlows!D12)*(Amort_Period_Mtg_2&gt;1)</f>
        <v>0</v>
      </c>
      <c r="C6" s="154">
        <f>FV(CashFlows!$D$13/CashFlows!$D$16,CashFlows!$D$16,CashFlows!$D$17,-B6,0)*(Amort_Period_Mtg_2&gt;2)</f>
        <v>0</v>
      </c>
      <c r="D6" s="154">
        <f>FV(CashFlows!$D$13/CashFlows!$D$16,CashFlows!$D$16,CashFlows!$D$17,-C6,0)*(Amort_Period_Mtg_2&gt;3)</f>
        <v>0</v>
      </c>
      <c r="E6" s="154">
        <f>FV(CashFlows!$D$13/CashFlows!$D$16,CashFlows!$D$16,CashFlows!$D$17,-D6,0)*(Amort_Period_Mtg_2&gt;4)</f>
        <v>0</v>
      </c>
      <c r="F6" s="154">
        <f>FV(CashFlows!$D$13/CashFlows!$D$16,CashFlows!$D$16,CashFlows!$D$17,-E6,0)*(Amort_Period_Mtg_2&gt;5)</f>
        <v>0</v>
      </c>
    </row>
    <row r="7" spans="1:7" ht="13" x14ac:dyDescent="0.15">
      <c r="A7" t="s">
        <v>89</v>
      </c>
      <c r="B7" s="30">
        <f>+B5+B6</f>
        <v>1179854.185513319</v>
      </c>
      <c r="C7" s="29">
        <f>+C5+C6</f>
        <v>1159619.6276938522</v>
      </c>
      <c r="D7" s="29">
        <f>+D5+D6</f>
        <v>1138455.4978283853</v>
      </c>
      <c r="E7" s="29">
        <f>+E5+E6</f>
        <v>1116319.0915397627</v>
      </c>
      <c r="F7" s="29">
        <f>+F5+F6</f>
        <v>1093165.7426192134</v>
      </c>
    </row>
    <row r="8" spans="1:7" x14ac:dyDescent="0.15">
      <c r="A8" s="3"/>
      <c r="B8" s="3"/>
      <c r="C8" s="3"/>
      <c r="D8" s="3"/>
      <c r="E8" s="3"/>
      <c r="F8" s="3"/>
      <c r="G8" s="3"/>
    </row>
    <row r="9" spans="1:7" x14ac:dyDescent="0.15">
      <c r="A9" s="3"/>
      <c r="B9" s="149">
        <f>+F4+1</f>
        <v>6</v>
      </c>
      <c r="C9" s="149">
        <f>+B9+1</f>
        <v>7</v>
      </c>
      <c r="D9" s="149">
        <f>+C9+1</f>
        <v>8</v>
      </c>
      <c r="E9" s="149">
        <f>+D9+1</f>
        <v>9</v>
      </c>
      <c r="F9" s="149">
        <f>+E9+1</f>
        <v>10</v>
      </c>
      <c r="G9" s="3"/>
    </row>
    <row r="10" spans="1:7" ht="13" x14ac:dyDescent="0.15">
      <c r="A10" s="19"/>
      <c r="B10" s="154">
        <f>FV(CashFlows!$C$13/CashFlows!$C$16,CashFlows!$C$16,CashFlows!$C$17,-F5,0)*(Amort_Period_Mtg_1&gt;6)</f>
        <v>1068948.7329001504</v>
      </c>
      <c r="C10" s="154">
        <f>FV(CashFlows!$C$13/CashFlows!$C$16,CashFlows!$C$16,CashFlows!$C$17,-B10,0)*(Amort_Period_Mtg_1&gt;7)</f>
        <v>1043619.1979915872</v>
      </c>
      <c r="D10" s="154">
        <f>FV(CashFlows!$C$13/CashFlows!$C$16,CashFlows!$C$16,CashFlows!$C$17,-C10,0)*(Amort_Period_Mtg_1&gt;8)</f>
        <v>1017126.0286809651</v>
      </c>
      <c r="E10" s="154">
        <f>FV(CashFlows!$C$13/CashFlows!$C$16,CashFlows!$C$16,CashFlows!$C$17,-D10,0)*(Amort_Period_Mtg_1&gt;9)</f>
        <v>989415.76780744223</v>
      </c>
      <c r="F10" s="154">
        <f>FV(CashFlows!$C$13/CashFlows!$C$16,CashFlows!$C$16,CashFlows!$C$17,-E10,0)*(Amort_Period_Mtg_1&gt;10)</f>
        <v>960432.50239756075</v>
      </c>
      <c r="G10" s="3"/>
    </row>
    <row r="11" spans="1:7" ht="13" x14ac:dyDescent="0.15">
      <c r="B11" s="154">
        <f>FV(CashFlows!$D$13/CashFlows!$D$16,CashFlows!$D$16,CashFlows!$D$17,-F6,0)*(Amort_Period_Mtg_2&gt;6)</f>
        <v>0</v>
      </c>
      <c r="C11" s="154">
        <f>FV(CashFlows!$D$13/CashFlows!$D$16,CashFlows!$D$16,CashFlows!$D$17,-B11,0)*(Amort_Period_Mtg_2&gt;7)</f>
        <v>0</v>
      </c>
      <c r="D11" s="154">
        <f>FV(CashFlows!$D$13/CashFlows!$D$16,CashFlows!$D$16,CashFlows!$D$17,-C11,0)*(Amort_Period_Mtg_2&gt;8)</f>
        <v>0</v>
      </c>
      <c r="E11" s="154">
        <f>FV(CashFlows!$D$13/CashFlows!$D$16,CashFlows!$D$16,CashFlows!$D$17,-D11,0)*(Amort_Period_Mtg_2&gt;9)</f>
        <v>0</v>
      </c>
      <c r="F11" s="154">
        <f>FV(CashFlows!$D$13/CashFlows!$D$16,CashFlows!$D$16,CashFlows!$D$17,-E11,0)*(Amort_Period_Mtg_2&gt;10)</f>
        <v>0</v>
      </c>
      <c r="G11" s="3"/>
    </row>
    <row r="12" spans="1:7" ht="13" x14ac:dyDescent="0.15">
      <c r="B12" s="30">
        <f>+B10+B11</f>
        <v>1068948.7329001504</v>
      </c>
      <c r="C12" s="29">
        <f>+C10+C11</f>
        <v>1043619.1979915872</v>
      </c>
      <c r="D12" s="29">
        <f>+D10+D11</f>
        <v>1017126.0286809651</v>
      </c>
      <c r="E12" s="29">
        <f>+E10+E11</f>
        <v>989415.76780744223</v>
      </c>
      <c r="F12" s="29">
        <f>+F10+F11</f>
        <v>960432.50239756075</v>
      </c>
      <c r="G12" s="3"/>
    </row>
    <row r="13" spans="1:7" x14ac:dyDescent="0.15">
      <c r="A13" s="3"/>
      <c r="B13" s="3"/>
      <c r="C13" s="3"/>
      <c r="D13" s="3"/>
      <c r="E13" s="3"/>
      <c r="F13" s="3"/>
      <c r="G13" s="3"/>
    </row>
    <row r="14" spans="1:7" ht="16" x14ac:dyDescent="0.2">
      <c r="A14" s="15"/>
      <c r="B14" s="22"/>
      <c r="C14" s="23" t="s">
        <v>90</v>
      </c>
      <c r="D14" s="22"/>
      <c r="E14" s="22"/>
      <c r="F14" s="22"/>
      <c r="G14" s="3"/>
    </row>
    <row r="15" spans="1:7" x14ac:dyDescent="0.15">
      <c r="B15" s="7"/>
      <c r="C15" s="6"/>
      <c r="D15" s="7"/>
      <c r="E15" s="7"/>
      <c r="F15" s="7"/>
    </row>
    <row r="16" spans="1:7" ht="18.75" customHeight="1" x14ac:dyDescent="0.15">
      <c r="A16" t="s">
        <v>91</v>
      </c>
      <c r="B16" s="27">
        <f>'Appreciation '!B4</f>
        <v>2845549.5389448036</v>
      </c>
      <c r="C16" s="74"/>
      <c r="D16" s="27">
        <f>'Appreciation '!B3</f>
        <v>2307641.6304163025</v>
      </c>
      <c r="E16" s="74"/>
      <c r="F16" s="27">
        <f>'Appreciation '!B2</f>
        <v>1863818.0882835833</v>
      </c>
    </row>
    <row r="17" spans="1:10" ht="15" customHeight="1" x14ac:dyDescent="0.15">
      <c r="A17" s="3"/>
      <c r="B17" s="305">
        <f>'Appreciation '!A4</f>
        <v>0.06</v>
      </c>
      <c r="C17" s="136"/>
      <c r="D17" s="305">
        <f>'Appreciation '!A3</f>
        <v>0.04</v>
      </c>
      <c r="E17" s="136"/>
      <c r="F17" s="305">
        <f>'Appreciation '!A2</f>
        <v>0.02</v>
      </c>
    </row>
    <row r="18" spans="1:10" ht="13.5" customHeight="1" x14ac:dyDescent="0.15">
      <c r="A18" s="1"/>
      <c r="B18" s="304" t="s">
        <v>209</v>
      </c>
      <c r="C18" s="137"/>
      <c r="D18" s="304" t="s">
        <v>209</v>
      </c>
      <c r="E18" s="137"/>
      <c r="F18" s="304" t="s">
        <v>209</v>
      </c>
    </row>
    <row r="19" spans="1:10" ht="25.5" customHeight="1" x14ac:dyDescent="0.15">
      <c r="A19" t="s">
        <v>92</v>
      </c>
      <c r="B19" s="28"/>
      <c r="D19" s="28"/>
      <c r="E19" s="75"/>
      <c r="F19" s="28"/>
    </row>
    <row r="20" spans="1:10" ht="13" x14ac:dyDescent="0.15">
      <c r="A20" s="215" t="s">
        <v>93</v>
      </c>
      <c r="B20" s="133">
        <f>+Adjusted_Basis</f>
        <v>1499000</v>
      </c>
      <c r="D20" s="27">
        <f>+Adjusted_Basis</f>
        <v>1499000</v>
      </c>
      <c r="F20" s="27">
        <f>+Adjusted_Basis</f>
        <v>1499000</v>
      </c>
      <c r="H20" s="240"/>
      <c r="I20" s="240"/>
      <c r="J20" s="240"/>
    </row>
    <row r="21" spans="1:10" ht="13" x14ac:dyDescent="0.15">
      <c r="A21" s="215" t="s">
        <v>171</v>
      </c>
      <c r="B21" s="73"/>
      <c r="D21" s="73"/>
      <c r="F21" s="73"/>
      <c r="H21" s="240"/>
      <c r="I21" s="240"/>
      <c r="J21" s="240"/>
    </row>
    <row r="22" spans="1:10" ht="13" x14ac:dyDescent="0.15">
      <c r="A22" s="215" t="s">
        <v>94</v>
      </c>
      <c r="B22" s="73">
        <f>SUM(Cost_recovery_10_Years)</f>
        <v>435686</v>
      </c>
      <c r="D22" s="73">
        <f>B22</f>
        <v>435686</v>
      </c>
      <c r="F22" s="73">
        <f>D22</f>
        <v>435686</v>
      </c>
      <c r="H22" s="240"/>
      <c r="I22" s="240"/>
      <c r="J22" s="240"/>
    </row>
    <row r="23" spans="1:10" ht="13" x14ac:dyDescent="0.15">
      <c r="A23" s="215" t="s">
        <v>95</v>
      </c>
      <c r="B23" s="73"/>
      <c r="D23" s="73"/>
      <c r="F23" s="73"/>
      <c r="H23" s="240"/>
      <c r="I23" s="240"/>
      <c r="J23" s="240"/>
    </row>
    <row r="24" spans="1:10" ht="13" x14ac:dyDescent="0.15">
      <c r="A24" s="215" t="s">
        <v>96</v>
      </c>
      <c r="B24" s="73">
        <f>+B20+B21-B22-B23</f>
        <v>1063314</v>
      </c>
      <c r="D24" s="73">
        <f>+D20+D21-D22-D23</f>
        <v>1063314</v>
      </c>
      <c r="F24" s="73">
        <f>+F20+F21-F22-F23</f>
        <v>1063314</v>
      </c>
      <c r="H24" s="240"/>
      <c r="I24" s="240"/>
      <c r="J24" s="240"/>
    </row>
    <row r="25" spans="1:10" ht="18" customHeight="1" x14ac:dyDescent="0.15">
      <c r="A25" s="215" t="s">
        <v>97</v>
      </c>
      <c r="H25" s="242" t="s">
        <v>181</v>
      </c>
      <c r="I25" s="242"/>
      <c r="J25" s="242"/>
    </row>
    <row r="26" spans="1:10" ht="13" x14ac:dyDescent="0.15">
      <c r="A26" s="215" t="s">
        <v>172</v>
      </c>
      <c r="B26" s="73">
        <f>+B16</f>
        <v>2845549.5389448036</v>
      </c>
      <c r="D26" s="73">
        <f>+D16</f>
        <v>2307641.6304163025</v>
      </c>
      <c r="F26" s="73">
        <f>+F16</f>
        <v>1863818.0882835833</v>
      </c>
    </row>
    <row r="27" spans="1:10" ht="13" x14ac:dyDescent="0.15">
      <c r="A27" s="215" t="s">
        <v>173</v>
      </c>
      <c r="B27" s="73">
        <f>+B26*Expenses_of_Sale</f>
        <v>184960.72003141223</v>
      </c>
      <c r="D27" s="73">
        <f>+D26*Expenses_of_Sale</f>
        <v>149996.70597705967</v>
      </c>
      <c r="F27" s="73">
        <f>+F26*Expenses_of_Sale</f>
        <v>121148.17573843292</v>
      </c>
    </row>
    <row r="28" spans="1:10" ht="13" x14ac:dyDescent="0.15">
      <c r="A28" s="215" t="s">
        <v>174</v>
      </c>
      <c r="B28" s="73">
        <f>+B24</f>
        <v>1063314</v>
      </c>
      <c r="D28" s="73">
        <f>+D24</f>
        <v>1063314</v>
      </c>
      <c r="F28" s="73">
        <f>+F24</f>
        <v>1063314</v>
      </c>
    </row>
    <row r="29" spans="1:10" ht="13" x14ac:dyDescent="0.15">
      <c r="A29" s="215" t="s">
        <v>175</v>
      </c>
      <c r="B29" s="73">
        <f>(B26-B27-$F$12)*PartSale</f>
        <v>0</v>
      </c>
      <c r="D29" s="73">
        <f>(D26-D27-$F$12)*PartSale</f>
        <v>0</v>
      </c>
      <c r="F29" s="73">
        <f>(F26-F27-$F$12)*PartSale</f>
        <v>0</v>
      </c>
    </row>
    <row r="30" spans="1:10" ht="13" x14ac:dyDescent="0.15">
      <c r="A30" s="215" t="s">
        <v>183</v>
      </c>
      <c r="B30" s="73">
        <f>+B26-B27-B28-B29</f>
        <v>1597274.8189133913</v>
      </c>
      <c r="D30" s="73">
        <f>+D26-D27-D28-D29</f>
        <v>1094330.924439243</v>
      </c>
      <c r="F30" s="73">
        <f>+F26-F27-F28-F29</f>
        <v>679355.91254515038</v>
      </c>
    </row>
    <row r="31" spans="1:10" ht="13" x14ac:dyDescent="0.15">
      <c r="A31" s="215" t="s">
        <v>184</v>
      </c>
      <c r="B31" s="79">
        <f>IF(B30&lt;0,0,IF(B22&gt;B30,B30,B22))</f>
        <v>435686</v>
      </c>
      <c r="D31" s="79">
        <f>IF(D30&lt;0,0,IF(D22&gt;D30,D30,D22))</f>
        <v>435686</v>
      </c>
      <c r="F31" s="79">
        <f>IF(F30&lt;0,0,IF(F22&gt;F30,F30,F22))</f>
        <v>435686</v>
      </c>
    </row>
    <row r="32" spans="1:10" ht="13" x14ac:dyDescent="0.15">
      <c r="A32" s="185" t="s">
        <v>185</v>
      </c>
      <c r="B32" s="79"/>
      <c r="D32" s="79"/>
      <c r="F32" s="79"/>
    </row>
    <row r="33" spans="1:16" ht="13" x14ac:dyDescent="0.15">
      <c r="A33" s="215" t="s">
        <v>186</v>
      </c>
      <c r="B33" s="73">
        <f>B30-B31-B32</f>
        <v>1161588.8189133913</v>
      </c>
      <c r="D33" s="73">
        <f>D30-D31-D32</f>
        <v>658644.92443924304</v>
      </c>
      <c r="F33" s="73">
        <f>F30-F31-F32</f>
        <v>243669.91254515038</v>
      </c>
    </row>
    <row r="34" spans="1:16" x14ac:dyDescent="0.15">
      <c r="A34" s="182" t="s">
        <v>98</v>
      </c>
    </row>
    <row r="35" spans="1:16" ht="13" x14ac:dyDescent="0.15">
      <c r="A35" s="215" t="s">
        <v>195</v>
      </c>
      <c r="B35" s="73">
        <f>-(Points_Mtg_1+Points_Mtg_2-SUM(LoanPointsAmortized))</f>
        <v>0</v>
      </c>
      <c r="D35" s="79">
        <f>B35</f>
        <v>0</v>
      </c>
      <c r="F35" s="79">
        <f>B35</f>
        <v>0</v>
      </c>
    </row>
    <row r="36" spans="1:16" ht="13" x14ac:dyDescent="0.15">
      <c r="A36" s="215" t="s">
        <v>187</v>
      </c>
      <c r="B36" s="73"/>
      <c r="D36" s="73"/>
      <c r="F36" s="73"/>
    </row>
    <row r="37" spans="1:16" ht="13.5" customHeight="1" x14ac:dyDescent="0.15">
      <c r="A37" s="215" t="s">
        <v>188</v>
      </c>
      <c r="B37" s="73">
        <f>B35+B36</f>
        <v>0</v>
      </c>
      <c r="D37" s="73">
        <f>D35+D36</f>
        <v>0</v>
      </c>
      <c r="F37" s="73">
        <f>F35+F36</f>
        <v>0</v>
      </c>
    </row>
    <row r="38" spans="1:16" ht="17.25" customHeight="1" x14ac:dyDescent="0.15">
      <c r="A38" s="182" t="s">
        <v>99</v>
      </c>
      <c r="B38" s="73">
        <f>SUM(FundedReserves)</f>
        <v>0</v>
      </c>
    </row>
    <row r="39" spans="1:16" ht="13" x14ac:dyDescent="0.15">
      <c r="A39" s="215" t="s">
        <v>189</v>
      </c>
      <c r="B39" s="73">
        <f>B16</f>
        <v>2845549.5389448036</v>
      </c>
      <c r="D39" s="73">
        <f>D16</f>
        <v>2307641.6304163025</v>
      </c>
      <c r="F39" s="73">
        <f>F16</f>
        <v>1863818.0882835833</v>
      </c>
      <c r="I39" s="140"/>
    </row>
    <row r="40" spans="1:16" ht="13" x14ac:dyDescent="0.15">
      <c r="A40" s="185" t="s">
        <v>190</v>
      </c>
      <c r="B40" s="95">
        <f>B27</f>
        <v>184960.72003141223</v>
      </c>
      <c r="D40" s="95">
        <f>D27</f>
        <v>149996.70597705967</v>
      </c>
      <c r="F40" s="95">
        <f>F27</f>
        <v>121148.17573843292</v>
      </c>
    </row>
    <row r="41" spans="1:16" ht="13.5" customHeight="1" x14ac:dyDescent="0.15">
      <c r="A41" s="182" t="s">
        <v>203</v>
      </c>
      <c r="B41" s="73">
        <f>B29</f>
        <v>0</v>
      </c>
      <c r="D41" s="73">
        <f>D29</f>
        <v>0</v>
      </c>
      <c r="F41" s="73">
        <f>F29</f>
        <v>0</v>
      </c>
      <c r="H41" s="3"/>
      <c r="I41" s="98"/>
      <c r="J41" s="74"/>
      <c r="K41" s="98"/>
      <c r="L41" s="74"/>
      <c r="M41" s="98"/>
      <c r="N41" s="3"/>
      <c r="O41" s="3"/>
      <c r="P41" s="3"/>
    </row>
    <row r="42" spans="1:16" ht="13" x14ac:dyDescent="0.15">
      <c r="A42" s="185" t="s">
        <v>191</v>
      </c>
      <c r="B42" s="73">
        <f>F12</f>
        <v>960432.50239756075</v>
      </c>
      <c r="D42" s="73">
        <f>B42</f>
        <v>960432.50239756075</v>
      </c>
      <c r="F42" s="73">
        <f>B42</f>
        <v>960432.50239756075</v>
      </c>
      <c r="H42" s="100"/>
      <c r="I42" s="98"/>
      <c r="J42" s="74"/>
      <c r="K42" s="98"/>
      <c r="L42" s="74"/>
      <c r="M42" s="98"/>
      <c r="N42" s="3"/>
      <c r="O42" s="3"/>
      <c r="P42" s="3"/>
    </row>
    <row r="43" spans="1:16" ht="13" x14ac:dyDescent="0.15">
      <c r="A43" s="185" t="s">
        <v>202</v>
      </c>
      <c r="B43" s="73">
        <f>SUM(FundedReserves)</f>
        <v>0</v>
      </c>
      <c r="D43" s="73">
        <f>B43</f>
        <v>0</v>
      </c>
      <c r="F43" s="73">
        <f>B43</f>
        <v>0</v>
      </c>
      <c r="H43" s="100"/>
      <c r="I43" s="101"/>
      <c r="J43" s="74"/>
      <c r="K43" s="101"/>
      <c r="L43" s="74"/>
      <c r="M43" s="101"/>
      <c r="N43" s="3"/>
      <c r="O43" s="3"/>
      <c r="P43" s="3"/>
    </row>
    <row r="44" spans="1:16" ht="17.25" customHeight="1" x14ac:dyDescent="0.15">
      <c r="A44" s="182" t="s">
        <v>193</v>
      </c>
      <c r="B44" s="73">
        <f>B39-B40-B38-B42+B43</f>
        <v>1700156.3165158306</v>
      </c>
      <c r="D44" s="73">
        <f>D39-D40-D38-D42+D43</f>
        <v>1197212.4220416823</v>
      </c>
      <c r="F44" s="73">
        <f>F39-F40-F38-F42+F43</f>
        <v>782237.41014758963</v>
      </c>
      <c r="H44" s="100"/>
      <c r="I44" s="98"/>
      <c r="J44" s="74"/>
      <c r="K44" s="98"/>
      <c r="L44" s="66"/>
      <c r="M44" s="98"/>
      <c r="N44" s="3"/>
      <c r="O44" s="3"/>
      <c r="P44" s="3"/>
    </row>
    <row r="45" spans="1:16" ht="13" x14ac:dyDescent="0.15">
      <c r="A45" s="278">
        <f>Ordinary_Income_Tax_Bracket</f>
        <v>0.35</v>
      </c>
      <c r="B45" s="73">
        <f>B37*Ordinary_Income_Tax_Bracket</f>
        <v>0</v>
      </c>
      <c r="D45" s="73">
        <f>D37*Ordinary_Income_Tax_Bracket</f>
        <v>0</v>
      </c>
      <c r="F45" s="73">
        <f>F37*Ordinary_Income_Tax_Bracket</f>
        <v>0</v>
      </c>
      <c r="H45" s="100"/>
      <c r="I45" s="101"/>
      <c r="J45" s="74"/>
      <c r="K45" s="101"/>
      <c r="L45" s="74"/>
      <c r="M45" s="101"/>
      <c r="N45" s="3"/>
      <c r="O45" s="3"/>
      <c r="P45" s="3"/>
    </row>
    <row r="46" spans="1:16" ht="13" x14ac:dyDescent="0.15">
      <c r="A46" s="279">
        <f>RecaptureSL</f>
        <v>0.25</v>
      </c>
      <c r="B46" s="73">
        <f>B31*RecaptureSL</f>
        <v>108921.5</v>
      </c>
      <c r="D46" s="73">
        <f>D31*RecaptureSL</f>
        <v>108921.5</v>
      </c>
      <c r="F46" s="73">
        <f>F31*RecaptureSL</f>
        <v>108921.5</v>
      </c>
      <c r="H46" s="100"/>
      <c r="I46" s="98"/>
      <c r="J46" s="74"/>
      <c r="K46" s="98"/>
      <c r="L46" s="74"/>
      <c r="M46" s="98"/>
      <c r="N46" s="3"/>
      <c r="O46" s="3"/>
      <c r="P46" s="3"/>
    </row>
    <row r="47" spans="1:16" ht="13" x14ac:dyDescent="0.15">
      <c r="A47" s="280">
        <f>Capital_Gain_Max_Tax_Rate</f>
        <v>0.2</v>
      </c>
      <c r="B47" s="73">
        <f>B33*Capital_Gain_Max_Tax_Rate</f>
        <v>232317.76378267829</v>
      </c>
      <c r="D47" s="73">
        <f>D33*Capital_Gain_Max_Tax_Rate</f>
        <v>131728.98488784861</v>
      </c>
      <c r="F47" s="73">
        <f>F33*Capital_Gain_Max_Tax_Rate</f>
        <v>48733.98250903008</v>
      </c>
    </row>
    <row r="48" spans="1:16" ht="13" x14ac:dyDescent="0.15">
      <c r="A48" s="182" t="s">
        <v>194</v>
      </c>
      <c r="B48" s="27">
        <f>SPBT1-B45-B46-B47</f>
        <v>1358917.0527331522</v>
      </c>
      <c r="D48" s="27">
        <f>SPBT2-D45-D46-D47</f>
        <v>956561.93715383369</v>
      </c>
      <c r="F48" s="27">
        <f>SPBT3-F45-F46-F47</f>
        <v>624581.9276385596</v>
      </c>
    </row>
    <row r="49" spans="1:7" x14ac:dyDescent="0.15">
      <c r="A49" s="24"/>
      <c r="B49" s="24"/>
      <c r="C49" s="76"/>
      <c r="D49" s="24"/>
      <c r="E49" s="76"/>
      <c r="F49" s="24"/>
      <c r="G49" s="3"/>
    </row>
    <row r="50" spans="1:7" x14ac:dyDescent="0.15">
      <c r="A50" s="12" t="str">
        <f>"Authored by Gary G. Tharp, CCIM    Copyright"&amp;CHAR(169)&amp;" 2004 by the CCIM Institute           "</f>
        <v xml:space="preserve">Authored by Gary G. Tharp, CCIM    Copyright© 2004 by the CCIM Institute           </v>
      </c>
      <c r="B50" s="85"/>
      <c r="C50" s="43"/>
      <c r="D50" s="11"/>
      <c r="E50" s="43"/>
      <c r="F50" s="87"/>
    </row>
    <row r="51" spans="1:7" x14ac:dyDescent="0.15">
      <c r="A51" s="86" t="s">
        <v>83</v>
      </c>
      <c r="B51" s="88"/>
      <c r="C51" s="43"/>
      <c r="D51" s="11"/>
      <c r="E51" s="43"/>
      <c r="F51" s="89"/>
    </row>
    <row r="53" spans="1:7" x14ac:dyDescent="0.15">
      <c r="A53" s="182" t="s">
        <v>192</v>
      </c>
    </row>
  </sheetData>
  <sheetProtection formatCells="0" formatColumns="0" formatRows="0" insertColumns="0" insertRows="0" insertHyperlinks="0" deleteColumns="0" deleteRows="0"/>
  <phoneticPr fontId="2" type="noConversion"/>
  <conditionalFormatting sqref="B38 B23 D23 F23 F21 D21 B21 D41 B41 F43 D43 B43 F41">
    <cfRule type="cellIs" priority="1" stopIfTrue="1" operator="notEqual">
      <formula>0</formula>
    </cfRule>
    <cfRule type="expression" dxfId="9" priority="2" stopIfTrue="1">
      <formula>+Highlighting_Flag</formula>
    </cfRule>
  </conditionalFormatting>
  <conditionalFormatting sqref="A45:A47 H25:J25">
    <cfRule type="expression" dxfId="8" priority="3" stopIfTrue="1">
      <formula>+Highlighting_Flag</formula>
    </cfRule>
  </conditionalFormatting>
  <conditionalFormatting sqref="I23:J24 D44:D48 B44:B48 D24 B24 B30:B33 D30:D33 B22 F24 D35:D37 B35:B37 F35:F37 D22 F22 F30:F33 D26:D28 F26:F28 B26:B28 F39:F40 D39:D40 B39:B40 B42 F42 D42 F20 D20 B20 F44:F48">
    <cfRule type="cellIs" priority="4" stopIfTrue="1" operator="notEqual">
      <formula>0</formula>
    </cfRule>
    <cfRule type="expression" dxfId="7" priority="5" stopIfTrue="1">
      <formula>+Highlighting_Flag</formula>
    </cfRule>
  </conditionalFormatting>
  <conditionalFormatting sqref="B5:F7">
    <cfRule type="expression" dxfId="6" priority="6" stopIfTrue="1">
      <formula>+AND(B5&lt;0.0000000001,Highlighting_Flag&gt;0)</formula>
    </cfRule>
  </conditionalFormatting>
  <conditionalFormatting sqref="B10:F12">
    <cfRule type="expression" dxfId="5" priority="7" stopIfTrue="1">
      <formula>+AND(B10&lt;0.0000001,Highlighting_Flag&gt;0)</formula>
    </cfRule>
  </conditionalFormatting>
  <conditionalFormatting sqref="H20:J20">
    <cfRule type="expression" dxfId="4" priority="8" stopIfTrue="1">
      <formula>+Highlighting_Flag</formula>
    </cfRule>
  </conditionalFormatting>
  <conditionalFormatting sqref="H21:J21">
    <cfRule type="expression" dxfId="3" priority="9" stopIfTrue="1">
      <formula>+Highlighting_Flag</formula>
    </cfRule>
  </conditionalFormatting>
  <conditionalFormatting sqref="H22:J22">
    <cfRule type="expression" dxfId="2" priority="10" stopIfTrue="1">
      <formula>+Highlighting_Flag</formula>
    </cfRule>
  </conditionalFormatting>
  <conditionalFormatting sqref="H23:H24">
    <cfRule type="expression" dxfId="1" priority="11" stopIfTrue="1">
      <formula>+Highlighting_Flag</formula>
    </cfRule>
  </conditionalFormatting>
  <conditionalFormatting sqref="B29 D29 F29">
    <cfRule type="expression" dxfId="0" priority="12" stopIfTrue="1">
      <formula>AND(+Highlighting_Flag,B29=0)</formula>
    </cfRule>
  </conditionalFormatting>
  <printOptions gridLinesSet="0"/>
  <pageMargins left="0.31" right="0.11" top="0.41" bottom="9.8425196850393706E-2" header="0" footer="0"/>
  <pageSetup orientation="portrait" horizontalDpi="4294967292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hilite3">
                <anchor moveWithCells="1" sizeWithCells="1">
                  <from>
                    <xdr:col>6</xdr:col>
                    <xdr:colOff>800100</xdr:colOff>
                    <xdr:row>27</xdr:row>
                    <xdr:rowOff>139700</xdr:rowOff>
                  </from>
                  <to>
                    <xdr:col>8</xdr:col>
                    <xdr:colOff>584200</xdr:colOff>
                    <xdr:row>30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O197"/>
  <sheetViews>
    <sheetView showGridLines="0" showRowColHeaders="0" showZeros="0" showOutlineSymbols="0" zoomScale="137" zoomScaleNormal="75" zoomScaleSheetLayoutView="75" zoomScalePageLayoutView="75" workbookViewId="0">
      <selection activeCell="H9" sqref="H9"/>
    </sheetView>
  </sheetViews>
  <sheetFormatPr baseColWidth="10" defaultColWidth="9" defaultRowHeight="12" x14ac:dyDescent="0.15"/>
  <cols>
    <col min="1" max="1" width="3.796875" customWidth="1"/>
    <col min="2" max="2" width="4.796875" customWidth="1"/>
    <col min="3" max="3" width="3.796875" customWidth="1"/>
    <col min="5" max="5" width="18.796875" customWidth="1"/>
    <col min="8" max="8" width="18.796875" customWidth="1"/>
    <col min="11" max="11" width="18.796875" customWidth="1"/>
    <col min="12" max="13" width="3.796875" customWidth="1"/>
  </cols>
  <sheetData>
    <row r="1" spans="1:15" ht="13" thickBot="1" x14ac:dyDescent="0.2">
      <c r="D1" s="36"/>
      <c r="E1" s="36"/>
      <c r="F1" s="36"/>
      <c r="G1" s="82" t="s">
        <v>101</v>
      </c>
      <c r="H1" s="83"/>
      <c r="I1" s="36"/>
      <c r="J1" s="36"/>
      <c r="K1" s="36"/>
    </row>
    <row r="2" spans="1:15" ht="16" thickTop="1" x14ac:dyDescent="0.15">
      <c r="B2" s="169" t="s">
        <v>100</v>
      </c>
      <c r="D2" s="37" t="s">
        <v>104</v>
      </c>
      <c r="E2" s="11"/>
      <c r="G2" s="11" t="s">
        <v>105</v>
      </c>
      <c r="H2" s="11"/>
      <c r="J2" s="11" t="s">
        <v>106</v>
      </c>
      <c r="K2" s="124"/>
      <c r="L2" s="168"/>
      <c r="M2" s="180" t="s">
        <v>102</v>
      </c>
    </row>
    <row r="3" spans="1:15" ht="12" customHeight="1" thickBot="1" x14ac:dyDescent="0.2">
      <c r="B3" s="169" t="s">
        <v>103</v>
      </c>
      <c r="D3" s="38" t="s">
        <v>108</v>
      </c>
      <c r="E3" s="35" t="s">
        <v>109</v>
      </c>
      <c r="F3" s="3"/>
      <c r="G3" s="35" t="s">
        <v>108</v>
      </c>
      <c r="H3" s="35" t="s">
        <v>109</v>
      </c>
      <c r="J3" s="35" t="s">
        <v>108</v>
      </c>
      <c r="K3" s="35" t="s">
        <v>109</v>
      </c>
      <c r="L3" s="168"/>
      <c r="M3" s="180" t="s">
        <v>100</v>
      </c>
    </row>
    <row r="4" spans="1:15" ht="16" thickTop="1" x14ac:dyDescent="0.15">
      <c r="B4" s="169" t="s">
        <v>107</v>
      </c>
      <c r="D4" s="134" t="s">
        <v>136</v>
      </c>
      <c r="E4" s="141">
        <f>-Initial_Investment</f>
        <v>-299800</v>
      </c>
      <c r="F4" s="144" t="s">
        <v>0</v>
      </c>
      <c r="G4" s="134" t="s">
        <v>136</v>
      </c>
      <c r="H4" s="141">
        <f>-Initial_Investment</f>
        <v>-299800</v>
      </c>
      <c r="I4" s="28"/>
      <c r="J4" s="134" t="s">
        <v>136</v>
      </c>
      <c r="K4" s="166">
        <f>-Initial_Investment</f>
        <v>-299800</v>
      </c>
      <c r="L4" s="168"/>
      <c r="M4" s="180" t="s">
        <v>110</v>
      </c>
    </row>
    <row r="5" spans="1:15" ht="12" customHeight="1" x14ac:dyDescent="0.15">
      <c r="B5" s="169" t="s">
        <v>110</v>
      </c>
      <c r="D5" s="135" t="s">
        <v>137</v>
      </c>
      <c r="E5" s="142">
        <f>CFBT_1</f>
        <v>-10443.042825184239</v>
      </c>
      <c r="F5" s="32"/>
      <c r="G5" s="135" t="s">
        <v>137</v>
      </c>
      <c r="H5" s="142">
        <f>CFBT_1</f>
        <v>-10443.042825184239</v>
      </c>
      <c r="I5" s="28"/>
      <c r="J5" s="165" t="s">
        <v>137</v>
      </c>
      <c r="K5" s="167">
        <f>CFBT_1</f>
        <v>-10443.042825184239</v>
      </c>
      <c r="L5" s="168"/>
      <c r="M5" s="180" t="s">
        <v>111</v>
      </c>
    </row>
    <row r="6" spans="1:15" ht="12" customHeight="1" x14ac:dyDescent="0.15">
      <c r="B6" s="169" t="s">
        <v>111</v>
      </c>
      <c r="D6" s="135" t="s">
        <v>138</v>
      </c>
      <c r="E6" s="142">
        <f>CFBT_2</f>
        <v>-8568.9128251842412</v>
      </c>
      <c r="F6" s="32"/>
      <c r="G6" s="135" t="s">
        <v>138</v>
      </c>
      <c r="H6" s="142">
        <f>CFBT_2</f>
        <v>-8568.9128251842412</v>
      </c>
      <c r="I6" s="28"/>
      <c r="J6" s="165" t="s">
        <v>138</v>
      </c>
      <c r="K6" s="167">
        <f>CFBT_2</f>
        <v>-8568.9128251842412</v>
      </c>
      <c r="L6" s="168"/>
      <c r="M6" s="180" t="s">
        <v>103</v>
      </c>
      <c r="O6" s="140"/>
    </row>
    <row r="7" spans="1:15" ht="12" customHeight="1" x14ac:dyDescent="0.15">
      <c r="B7" s="169" t="s">
        <v>103</v>
      </c>
      <c r="D7" s="135" t="s">
        <v>139</v>
      </c>
      <c r="E7" s="142">
        <f>CFBT_3</f>
        <v>-6638.5589251842466</v>
      </c>
      <c r="F7" s="32"/>
      <c r="G7" s="135" t="s">
        <v>139</v>
      </c>
      <c r="H7" s="142">
        <f>CFBT_3</f>
        <v>-6638.5589251842466</v>
      </c>
      <c r="I7" s="28"/>
      <c r="J7" s="165" t="s">
        <v>139</v>
      </c>
      <c r="K7" s="167">
        <f>CFBT_3</f>
        <v>-6638.5589251842466</v>
      </c>
      <c r="L7" s="168"/>
      <c r="M7" s="180" t="s">
        <v>100</v>
      </c>
    </row>
    <row r="8" spans="1:15" ht="12" customHeight="1" x14ac:dyDescent="0.15">
      <c r="A8" s="140">
        <f>E8</f>
        <v>-4650.2944081842288</v>
      </c>
      <c r="B8" s="126"/>
      <c r="D8" s="135" t="s">
        <v>140</v>
      </c>
      <c r="E8" s="142">
        <f>CFBT_4</f>
        <v>-4650.2944081842288</v>
      </c>
      <c r="F8" s="32"/>
      <c r="G8" s="135" t="s">
        <v>140</v>
      </c>
      <c r="H8" s="142">
        <f>CFBT_4</f>
        <v>-4650.2944081842288</v>
      </c>
      <c r="I8" s="28"/>
      <c r="J8" s="165" t="s">
        <v>140</v>
      </c>
      <c r="K8" s="167">
        <f>CFBT_4</f>
        <v>-4650.2944081842288</v>
      </c>
      <c r="L8" s="168"/>
      <c r="M8" s="180" t="s">
        <v>112</v>
      </c>
    </row>
    <row r="9" spans="1:15" ht="12" customHeight="1" x14ac:dyDescent="0.15">
      <c r="B9" s="169"/>
      <c r="D9" s="135" t="s">
        <v>141</v>
      </c>
      <c r="E9" s="142">
        <f>CFBT_5</f>
        <v>-2602.3819556742237</v>
      </c>
      <c r="F9" s="32"/>
      <c r="G9" s="135" t="s">
        <v>141</v>
      </c>
      <c r="H9" s="142">
        <f>CFBT_5</f>
        <v>-2602.3819556742237</v>
      </c>
      <c r="I9" s="28"/>
      <c r="J9" s="165" t="s">
        <v>141</v>
      </c>
      <c r="K9" s="167">
        <f>CFBT_5</f>
        <v>-2602.3819556742237</v>
      </c>
      <c r="L9" s="168"/>
      <c r="M9" s="180" t="s">
        <v>114</v>
      </c>
    </row>
    <row r="10" spans="1:15" ht="12" customHeight="1" x14ac:dyDescent="0.15">
      <c r="B10" s="169"/>
      <c r="D10" s="135" t="s">
        <v>158</v>
      </c>
      <c r="E10" s="142">
        <f>CFBT_6</f>
        <v>-493.03212958892982</v>
      </c>
      <c r="F10" s="32"/>
      <c r="G10" s="135" t="s">
        <v>158</v>
      </c>
      <c r="H10" s="142">
        <f>CFBT_6</f>
        <v>-493.03212958892982</v>
      </c>
      <c r="I10" s="28"/>
      <c r="J10" s="165" t="s">
        <v>158</v>
      </c>
      <c r="K10" s="167">
        <f>CFBT_6</f>
        <v>-493.03212958892982</v>
      </c>
      <c r="L10" s="168"/>
      <c r="M10" s="180"/>
    </row>
    <row r="11" spans="1:15" ht="12" customHeight="1" x14ac:dyDescent="0.15">
      <c r="B11" s="169" t="s">
        <v>113</v>
      </c>
      <c r="D11" s="135" t="s">
        <v>159</v>
      </c>
      <c r="E11" s="142">
        <f>CFBT_7</f>
        <v>1679.5981912789284</v>
      </c>
      <c r="F11" s="32"/>
      <c r="G11" s="135" t="s">
        <v>159</v>
      </c>
      <c r="H11" s="142">
        <f>CFBT_7</f>
        <v>1679.5981912789284</v>
      </c>
      <c r="I11" s="28"/>
      <c r="J11" s="165" t="s">
        <v>159</v>
      </c>
      <c r="K11" s="167">
        <f>CFBT_7</f>
        <v>1679.5981912789284</v>
      </c>
      <c r="L11" s="168"/>
      <c r="M11" s="180"/>
    </row>
    <row r="12" spans="1:15" ht="12" customHeight="1" x14ac:dyDescent="0.15">
      <c r="B12" s="169" t="s">
        <v>115</v>
      </c>
      <c r="D12" s="135" t="s">
        <v>160</v>
      </c>
      <c r="E12" s="142">
        <f>CFBT_8</f>
        <v>3917.4074217728194</v>
      </c>
      <c r="F12" s="32"/>
      <c r="G12" s="135" t="s">
        <v>160</v>
      </c>
      <c r="H12" s="142">
        <f>CFBT_8</f>
        <v>3917.4074217728194</v>
      </c>
      <c r="I12" s="28"/>
      <c r="J12" s="165" t="s">
        <v>160</v>
      </c>
      <c r="K12" s="167">
        <f>CFBT_8</f>
        <v>3917.4074217728194</v>
      </c>
      <c r="L12" s="168"/>
      <c r="M12" s="180" t="s">
        <v>103</v>
      </c>
    </row>
    <row r="13" spans="1:15" ht="12" customHeight="1" x14ac:dyDescent="0.15">
      <c r="B13" s="169"/>
      <c r="D13" s="135" t="s">
        <v>161</v>
      </c>
      <c r="E13" s="142">
        <f>CFBT_9</f>
        <v>6222.350929181528</v>
      </c>
      <c r="F13" s="32"/>
      <c r="G13" s="135" t="s">
        <v>161</v>
      </c>
      <c r="H13" s="142">
        <f>CFBT_9</f>
        <v>6222.350929181528</v>
      </c>
      <c r="I13" s="28"/>
      <c r="J13" s="165" t="s">
        <v>161</v>
      </c>
      <c r="K13" s="167">
        <f>CFBT_9</f>
        <v>6222.350929181528</v>
      </c>
      <c r="L13" s="168"/>
      <c r="M13" s="180" t="s">
        <v>112</v>
      </c>
    </row>
    <row r="14" spans="1:15" ht="12" customHeight="1" x14ac:dyDescent="0.15">
      <c r="B14" s="126"/>
      <c r="D14" s="135">
        <v>10</v>
      </c>
      <c r="E14" s="173" t="str">
        <f>IF(CFBT_10&lt;0,TEXT(-CFBT_10,"(#,###)"),TEXT(CFBT_10,"#,###"))&amp;" + "&amp;IF(SPBT1&lt;0,TEXT(-SPBT1,"(#,###)"),TEXT(SPBT1,"#,###"))</f>
        <v>8,596 + 1,700,156</v>
      </c>
      <c r="F14" s="32"/>
      <c r="G14" s="135">
        <v>10</v>
      </c>
      <c r="H14" s="173" t="str">
        <f>IF(CFBT_10&lt;0,TEXT(-CFBT_10,"(#,###)"),TEXT(CFBT_10,"#,###"))&amp;" + "&amp;IF(SPBT2&lt;0,TEXT(-SPBT2,"(#,###)"),TEXT(SPBT2,"#,###"))</f>
        <v>8,596 + 1,197,212</v>
      </c>
      <c r="I14" s="28"/>
      <c r="J14" s="165">
        <v>10</v>
      </c>
      <c r="K14" s="173" t="str">
        <f>IF(CFBT_10&lt;0,TEXT(-CFBT_10,"(#,###)"),TEXT(CFBT_10,"#,###"))&amp;" + "&amp;IF(SPBT3&lt;0,TEXT(-SPBT3,"(#,###)"),TEXT(SPBT3,"#,###"))</f>
        <v>8,596 + 782,237</v>
      </c>
      <c r="L14" s="168"/>
      <c r="M14" s="180" t="s">
        <v>110</v>
      </c>
    </row>
    <row r="15" spans="1:15" ht="12" customHeight="1" x14ac:dyDescent="0.15">
      <c r="B15" s="169"/>
      <c r="D15" s="147" t="s">
        <v>116</v>
      </c>
      <c r="E15" s="148">
        <f>IF(SUM(E169:E179)&lt;0,"  Negative!",IF(ISERROR(E180)," Zero",E180))</f>
        <v>0.18253989723317976</v>
      </c>
      <c r="F15" s="145"/>
      <c r="G15" s="146" t="s">
        <v>116</v>
      </c>
      <c r="H15" s="148">
        <f>IF(SUM(H169:H179)&lt;0,"  Negative!",IF(ISERROR(H180)," Zero",H180))</f>
        <v>0.14172692718431223</v>
      </c>
      <c r="I15" s="146"/>
      <c r="J15" s="146" t="s">
        <v>116</v>
      </c>
      <c r="K15" s="148">
        <f>IF(SUM(K169:K179)&lt;0,"  Negative!",IF(ISERROR(K180)," Zero",K180))</f>
        <v>9.4289961680926515E-2</v>
      </c>
      <c r="L15" s="168"/>
      <c r="M15" s="180" t="s">
        <v>111</v>
      </c>
    </row>
    <row r="16" spans="1:15" ht="12" customHeight="1" x14ac:dyDescent="0.15">
      <c r="B16" s="169" t="s">
        <v>117</v>
      </c>
      <c r="D16" s="80" t="s">
        <v>162</v>
      </c>
      <c r="E16" s="174">
        <f>NPV(E17,E170:E179)+E169+0.00001</f>
        <v>1.0000174622982741E-5</v>
      </c>
      <c r="F16" s="170"/>
      <c r="G16" s="80" t="s">
        <v>162</v>
      </c>
      <c r="H16" s="174">
        <f>NPV(H17,H170:H179)+H169+0.00001</f>
        <v>9.9999417923390874E-6</v>
      </c>
      <c r="I16" s="170"/>
      <c r="J16" s="80" t="s">
        <v>162</v>
      </c>
      <c r="K16" s="174">
        <f>NPV(K17,K170:K179)+K169+0.00001</f>
        <v>1.0000058207660914E-5</v>
      </c>
      <c r="L16" s="168"/>
      <c r="M16" s="180" t="s">
        <v>117</v>
      </c>
    </row>
    <row r="17" spans="2:13" ht="12" customHeight="1" x14ac:dyDescent="0.15">
      <c r="B17" s="169" t="s">
        <v>111</v>
      </c>
      <c r="D17" s="175" t="s">
        <v>163</v>
      </c>
      <c r="E17" s="176">
        <f>E180</f>
        <v>0.18253989723317976</v>
      </c>
      <c r="F17" s="177"/>
      <c r="G17" s="175" t="s">
        <v>163</v>
      </c>
      <c r="H17" s="176">
        <f>H180</f>
        <v>0.14172692718431223</v>
      </c>
      <c r="I17" s="177"/>
      <c r="J17" s="175" t="s">
        <v>163</v>
      </c>
      <c r="K17" s="176">
        <f>K180</f>
        <v>9.4289961680926515E-2</v>
      </c>
      <c r="L17" s="168"/>
      <c r="M17" s="181"/>
    </row>
    <row r="18" spans="2:13" ht="12" customHeight="1" x14ac:dyDescent="0.15">
      <c r="B18" s="169" t="s">
        <v>110</v>
      </c>
      <c r="L18" s="168"/>
      <c r="M18" s="181"/>
    </row>
    <row r="19" spans="2:13" ht="12" customHeight="1" x14ac:dyDescent="0.15">
      <c r="B19" s="169" t="s">
        <v>112</v>
      </c>
      <c r="L19" s="168"/>
      <c r="M19" s="181"/>
    </row>
    <row r="20" spans="2:13" ht="12" customHeight="1" thickBot="1" x14ac:dyDescent="0.2">
      <c r="B20" s="169" t="s">
        <v>103</v>
      </c>
      <c r="D20" s="36"/>
      <c r="E20" s="36"/>
      <c r="F20" s="36"/>
      <c r="G20" s="82" t="s">
        <v>118</v>
      </c>
      <c r="H20" s="83"/>
      <c r="I20" s="36"/>
      <c r="J20" s="36"/>
      <c r="K20" s="36"/>
      <c r="L20" s="168"/>
      <c r="M20" s="181"/>
    </row>
    <row r="21" spans="2:13" ht="12" customHeight="1" thickTop="1" x14ac:dyDescent="0.15">
      <c r="B21" s="126"/>
      <c r="D21" s="37" t="s">
        <v>104</v>
      </c>
      <c r="E21" s="11"/>
      <c r="G21" s="11" t="s">
        <v>105</v>
      </c>
      <c r="H21" s="11"/>
      <c r="J21" s="11" t="s">
        <v>106</v>
      </c>
      <c r="K21" s="124"/>
      <c r="L21" s="168"/>
      <c r="M21" s="180" t="s">
        <v>115</v>
      </c>
    </row>
    <row r="22" spans="2:13" ht="12" customHeight="1" thickBot="1" x14ac:dyDescent="0.2">
      <c r="B22" s="169"/>
      <c r="D22" s="38" t="s">
        <v>108</v>
      </c>
      <c r="E22" s="35" t="s">
        <v>109</v>
      </c>
      <c r="F22" s="3"/>
      <c r="G22" s="35" t="s">
        <v>108</v>
      </c>
      <c r="H22" s="35" t="s">
        <v>109</v>
      </c>
      <c r="J22" s="35" t="s">
        <v>108</v>
      </c>
      <c r="K22" s="35" t="s">
        <v>109</v>
      </c>
      <c r="L22" s="168"/>
      <c r="M22" s="180" t="s">
        <v>113</v>
      </c>
    </row>
    <row r="23" spans="2:13" ht="12" customHeight="1" x14ac:dyDescent="0.15">
      <c r="B23" s="169" t="s">
        <v>114</v>
      </c>
      <c r="D23" s="134" t="s">
        <v>136</v>
      </c>
      <c r="E23" s="141">
        <f>-Initial_Investment</f>
        <v>-299800</v>
      </c>
      <c r="F23" s="78"/>
      <c r="G23" s="134" t="s">
        <v>136</v>
      </c>
      <c r="H23" s="141">
        <f>-Initial_Investment</f>
        <v>-299800</v>
      </c>
      <c r="J23" s="134" t="s">
        <v>136</v>
      </c>
      <c r="K23" s="141">
        <f>-Initial_Investment</f>
        <v>-299800</v>
      </c>
      <c r="L23" s="168"/>
      <c r="M23" s="181"/>
    </row>
    <row r="24" spans="2:13" ht="12" customHeight="1" x14ac:dyDescent="0.15">
      <c r="B24" s="169" t="s">
        <v>112</v>
      </c>
      <c r="D24" s="135" t="s">
        <v>137</v>
      </c>
      <c r="E24" s="142">
        <f>CFAT_1</f>
        <v>1179.8370932918879</v>
      </c>
      <c r="F24" s="31"/>
      <c r="G24" s="135" t="s">
        <v>137</v>
      </c>
      <c r="H24" s="142">
        <f>CFAT_1</f>
        <v>1179.8370932918879</v>
      </c>
      <c r="J24" s="135" t="s">
        <v>137</v>
      </c>
      <c r="K24" s="142">
        <f>CFAT_1</f>
        <v>1179.8370932918879</v>
      </c>
      <c r="L24" s="168"/>
      <c r="M24" s="180" t="s">
        <v>0</v>
      </c>
    </row>
    <row r="25" spans="2:13" ht="12" customHeight="1" x14ac:dyDescent="0.15">
      <c r="B25" s="169" t="s">
        <v>100</v>
      </c>
      <c r="D25" s="135" t="s">
        <v>138</v>
      </c>
      <c r="E25" s="142">
        <f>CFAT_2</f>
        <v>2724.6614268168614</v>
      </c>
      <c r="F25" s="31"/>
      <c r="G25" s="135" t="s">
        <v>138</v>
      </c>
      <c r="H25" s="142">
        <f>CFAT_2</f>
        <v>2724.6614268168614</v>
      </c>
      <c r="J25" s="135" t="s">
        <v>138</v>
      </c>
      <c r="K25" s="142">
        <f>CFAT_2</f>
        <v>2724.6614268168614</v>
      </c>
      <c r="L25" s="168"/>
      <c r="M25" s="181"/>
    </row>
    <row r="26" spans="2:13" ht="12" customHeight="1" x14ac:dyDescent="0.15">
      <c r="B26" s="169" t="s">
        <v>103</v>
      </c>
      <c r="D26" s="135" t="s">
        <v>139</v>
      </c>
      <c r="E26" s="142">
        <f>CFAT_3</f>
        <v>3654.0412457168422</v>
      </c>
      <c r="F26" s="31"/>
      <c r="G26" s="135" t="s">
        <v>139</v>
      </c>
      <c r="H26" s="142">
        <f>CFAT_3</f>
        <v>3654.0412457168422</v>
      </c>
      <c r="J26" s="135" t="s">
        <v>139</v>
      </c>
      <c r="K26" s="142">
        <f>CFAT_3</f>
        <v>3654.0412457168422</v>
      </c>
      <c r="L26" s="168"/>
      <c r="M26" s="180" t="s">
        <v>103</v>
      </c>
    </row>
    <row r="27" spans="2:13" ht="12" customHeight="1" x14ac:dyDescent="0.15">
      <c r="B27" s="169" t="s">
        <v>111</v>
      </c>
      <c r="D27" s="135" t="s">
        <v>140</v>
      </c>
      <c r="E27" s="142">
        <f>CFAT_4</f>
        <v>4606.1164336623242</v>
      </c>
      <c r="F27" s="31"/>
      <c r="G27" s="135" t="s">
        <v>140</v>
      </c>
      <c r="H27" s="142">
        <f>CFAT_4</f>
        <v>4606.1164336623242</v>
      </c>
      <c r="J27" s="135" t="s">
        <v>140</v>
      </c>
      <c r="K27" s="142">
        <f>CFAT_4</f>
        <v>4606.1164336623242</v>
      </c>
      <c r="L27" s="168"/>
      <c r="M27" s="180" t="s">
        <v>111</v>
      </c>
    </row>
    <row r="28" spans="2:13" ht="12" customHeight="1" x14ac:dyDescent="0.15">
      <c r="B28" s="169" t="s">
        <v>110</v>
      </c>
      <c r="D28" s="135" t="s">
        <v>141</v>
      </c>
      <c r="E28" s="142">
        <f>CFAT_5</f>
        <v>5581.3296066195107</v>
      </c>
      <c r="F28" s="31"/>
      <c r="G28" s="135" t="s">
        <v>141</v>
      </c>
      <c r="H28" s="142">
        <f>CFAT_5</f>
        <v>5581.3296066195107</v>
      </c>
      <c r="J28" s="135" t="s">
        <v>141</v>
      </c>
      <c r="K28" s="142">
        <f>CFAT_5</f>
        <v>5581.3296066195107</v>
      </c>
      <c r="L28" s="168"/>
      <c r="M28" s="180" t="s">
        <v>110</v>
      </c>
    </row>
    <row r="29" spans="2:13" ht="12" customHeight="1" x14ac:dyDescent="0.15">
      <c r="B29" s="169" t="s">
        <v>100</v>
      </c>
      <c r="D29" s="135" t="s">
        <v>158</v>
      </c>
      <c r="E29" s="142">
        <f>CFAT_6</f>
        <v>6580.1257140951238</v>
      </c>
      <c r="F29" s="31"/>
      <c r="G29" s="135" t="s">
        <v>158</v>
      </c>
      <c r="H29" s="142">
        <f>CFAT_6</f>
        <v>6580.1257140951238</v>
      </c>
      <c r="J29" s="135" t="s">
        <v>158</v>
      </c>
      <c r="K29" s="142">
        <f>CFAT_6</f>
        <v>6580.1257140951238</v>
      </c>
      <c r="L29" s="168"/>
      <c r="M29" s="180" t="s">
        <v>107</v>
      </c>
    </row>
    <row r="30" spans="2:13" ht="12" customHeight="1" x14ac:dyDescent="0.15">
      <c r="B30" s="169" t="s">
        <v>102</v>
      </c>
      <c r="D30" s="135" t="s">
        <v>159</v>
      </c>
      <c r="E30" s="142">
        <f>CFAT_7</f>
        <v>7602.9516063342071</v>
      </c>
      <c r="F30" s="31"/>
      <c r="G30" s="135" t="s">
        <v>159</v>
      </c>
      <c r="H30" s="142">
        <f>CFAT_7</f>
        <v>7602.9516063342071</v>
      </c>
      <c r="J30" s="135" t="s">
        <v>159</v>
      </c>
      <c r="K30" s="142">
        <f>CFAT_7</f>
        <v>7602.9516063342071</v>
      </c>
      <c r="L30" s="168"/>
      <c r="M30" s="180" t="s">
        <v>103</v>
      </c>
    </row>
    <row r="31" spans="2:13" ht="12" customHeight="1" x14ac:dyDescent="0.15">
      <c r="B31" s="126"/>
      <c r="D31" s="135" t="s">
        <v>160</v>
      </c>
      <c r="E31" s="142">
        <f>CFAT_8</f>
        <v>8650.2555654345797</v>
      </c>
      <c r="F31" s="31"/>
      <c r="G31" s="135" t="s">
        <v>160</v>
      </c>
      <c r="H31" s="142">
        <f>CFAT_8</f>
        <v>8650.2555654345797</v>
      </c>
      <c r="J31" s="135" t="s">
        <v>160</v>
      </c>
      <c r="K31" s="142">
        <f>CFAT_8</f>
        <v>8650.2555654345797</v>
      </c>
      <c r="L31" s="168"/>
      <c r="M31" s="180" t="s">
        <v>100</v>
      </c>
    </row>
    <row r="32" spans="2:13" ht="12" customHeight="1" x14ac:dyDescent="0.15">
      <c r="B32" s="126"/>
      <c r="D32" s="135" t="s">
        <v>161</v>
      </c>
      <c r="E32" s="142">
        <f>CFAT_9</f>
        <v>9722.4867982349988</v>
      </c>
      <c r="F32" s="31"/>
      <c r="G32" s="135" t="s">
        <v>161</v>
      </c>
      <c r="H32" s="142">
        <f>CFAT_9</f>
        <v>9722.4867982349988</v>
      </c>
      <c r="J32" s="135" t="s">
        <v>161</v>
      </c>
      <c r="K32" s="142">
        <f>CFAT_9</f>
        <v>9722.4867982349988</v>
      </c>
      <c r="L32" s="168"/>
      <c r="M32" s="181"/>
    </row>
    <row r="33" spans="3:12" ht="12" customHeight="1" x14ac:dyDescent="0.15">
      <c r="D33" s="135">
        <v>10</v>
      </c>
      <c r="E33" s="173" t="str">
        <f>IF(CFAT_10&lt;0,TEXT(-CFAT_10,"(#,###)"),TEXT(CFAT_10,"#,###"))&amp;" + "&amp;IF(SPAT1&lt;0,TEXT(-SPAT1,"(#,###)"),TEXT(SPAT1,"#,###"))</f>
        <v>10,182 + 1,358,917</v>
      </c>
      <c r="F33" s="32"/>
      <c r="G33" s="135" t="s">
        <v>141</v>
      </c>
      <c r="H33" s="173" t="str">
        <f>IF(CFAT_10&lt;0,TEXT(-CFAT_10,"(#,###)"),TEXT(CFAT_10,"#,###"))&amp;" + "&amp;IF(SPAT2&lt;0,TEXT(-SPAT2,"(#,###)"),TEXT(SPAT2,"#,###"))</f>
        <v>10,182 + 956,562</v>
      </c>
      <c r="I33" s="179"/>
      <c r="J33" s="135" t="s">
        <v>141</v>
      </c>
      <c r="K33" s="173" t="str">
        <f>IF(CFAT_10&lt;0,TEXT(-CFAT_10,"(#,###)"),TEXT(CFAT_10,"#,###"))&amp;" + "&amp;IF(SPAT3&lt;0,TEXT(-SPAT3,"(#,###)"),TEXT(SPAT3,"#,###"))</f>
        <v>10,182 + 624,582</v>
      </c>
    </row>
    <row r="34" spans="3:12" ht="12" customHeight="1" x14ac:dyDescent="0.15">
      <c r="D34" s="147" t="s">
        <v>116</v>
      </c>
      <c r="E34" s="148">
        <f>IF(SUM(E186:E196)&lt;0,"  Negative!",IF(ISERROR(E197)," Zero",E197))</f>
        <v>0.17209220769106626</v>
      </c>
      <c r="F34" s="145"/>
      <c r="G34" s="146" t="s">
        <v>116</v>
      </c>
      <c r="H34" s="148">
        <f>IF(SUM(H186:H196)&lt;0,"  Negative!",IF(ISERROR(H197)," Zero",H197))</f>
        <v>0.13363704022941736</v>
      </c>
      <c r="I34" s="146"/>
      <c r="J34" s="146" t="s">
        <v>116</v>
      </c>
      <c r="K34" s="148">
        <f>IF(SUM(K186:K196)&lt;0,"  Negative!",IF(ISERROR(K197)," Zero",K197))</f>
        <v>8.9360302869464725E-2</v>
      </c>
    </row>
    <row r="35" spans="3:12" ht="12" customHeight="1" x14ac:dyDescent="0.15">
      <c r="D35" s="80" t="s">
        <v>162</v>
      </c>
      <c r="E35" s="174">
        <f>NPV(E36,E187:E196)+E186+0.00001</f>
        <v>1.0000000000000001E-5</v>
      </c>
      <c r="F35" s="42"/>
      <c r="G35" s="80" t="s">
        <v>162</v>
      </c>
      <c r="H35" s="174">
        <f>NPV(H36,H187:H196)+H186+0.00001</f>
        <v>1.0000116415321828E-5</v>
      </c>
      <c r="I35" s="42"/>
      <c r="J35" s="80" t="s">
        <v>162</v>
      </c>
      <c r="K35" s="174">
        <f>NPV(K36,K187:K196)+K186+0.00001</f>
        <v>9.99965075403452E-6</v>
      </c>
    </row>
    <row r="36" spans="3:12" ht="12" customHeight="1" x14ac:dyDescent="0.15">
      <c r="D36" s="175" t="s">
        <v>163</v>
      </c>
      <c r="E36" s="176">
        <f>E197</f>
        <v>0.17209220769106626</v>
      </c>
      <c r="G36" s="175" t="s">
        <v>163</v>
      </c>
      <c r="H36" s="176">
        <f>H197</f>
        <v>0.13363704022941736</v>
      </c>
      <c r="J36" s="175" t="s">
        <v>163</v>
      </c>
      <c r="K36" s="176">
        <f>K197</f>
        <v>8.9360302869464725E-2</v>
      </c>
      <c r="L36" s="40"/>
    </row>
    <row r="37" spans="3:12" ht="12" customHeight="1" x14ac:dyDescent="0.15">
      <c r="E37" s="104"/>
      <c r="F37" s="14"/>
      <c r="L37" s="41"/>
    </row>
    <row r="38" spans="3:12" ht="12" customHeight="1" x14ac:dyDescent="0.15">
      <c r="C38" s="178"/>
      <c r="D38" s="178"/>
      <c r="E38" s="171" t="str">
        <f>"Cap rate used on Sale = "&amp;TEXT(Cap_rate_used_in_Sale_1,"#.##%")</f>
        <v>Cap rate used on Sale = 4.%</v>
      </c>
      <c r="F38" s="171"/>
      <c r="G38" s="178"/>
      <c r="H38" s="171" t="str">
        <f>"Cap rate on Sale = "&amp;TEXT(Cap_rate_used_in_Sale_2,"#.##%")</f>
        <v>Cap rate on Sale = 6.%</v>
      </c>
      <c r="I38" s="171"/>
      <c r="J38" s="178"/>
      <c r="K38" s="171" t="str">
        <f>"Cap rate on Sale = "&amp;TEXT(Cap_rate_used_in_Sale_3,"#.##%")</f>
        <v>Cap rate on Sale = 7.%</v>
      </c>
      <c r="L38" s="171"/>
    </row>
    <row r="39" spans="3:12" ht="12" customHeight="1" x14ac:dyDescent="0.15"/>
    <row r="40" spans="3:12" ht="12" customHeight="1" x14ac:dyDescent="0.15">
      <c r="E40" s="14"/>
    </row>
    <row r="52" spans="11:11" x14ac:dyDescent="0.15">
      <c r="K52" s="14"/>
    </row>
    <row r="65" spans="2:13" x14ac:dyDescent="0.15">
      <c r="B65" s="24"/>
      <c r="C65" s="24"/>
      <c r="D65" s="76"/>
      <c r="E65" s="24"/>
      <c r="F65" s="76"/>
      <c r="G65" s="24"/>
      <c r="H65" s="24"/>
      <c r="I65" s="24"/>
      <c r="J65" s="24"/>
      <c r="K65" s="24"/>
      <c r="L65" s="24"/>
      <c r="M65" s="24"/>
    </row>
    <row r="66" spans="2:13" x14ac:dyDescent="0.15">
      <c r="B66" s="360" t="s">
        <v>204</v>
      </c>
      <c r="C66" s="361"/>
      <c r="D66" s="361"/>
      <c r="E66" s="361"/>
      <c r="F66" s="361"/>
      <c r="G66" s="361"/>
      <c r="H66" s="361"/>
      <c r="I66" s="361"/>
      <c r="J66" s="361"/>
      <c r="K66" s="361"/>
      <c r="L66" s="361"/>
      <c r="M66" s="361"/>
    </row>
    <row r="67" spans="2:13" x14ac:dyDescent="0.15">
      <c r="B67" s="362" t="s">
        <v>205</v>
      </c>
      <c r="C67" s="363"/>
      <c r="D67" s="363"/>
      <c r="E67" s="363"/>
      <c r="F67" s="363"/>
      <c r="G67" s="363"/>
      <c r="H67" s="363"/>
      <c r="I67" s="363"/>
      <c r="J67" s="363"/>
      <c r="K67" s="363"/>
      <c r="L67" s="363"/>
      <c r="M67" s="363"/>
    </row>
    <row r="155" spans="5:5" ht="13" x14ac:dyDescent="0.15">
      <c r="E155" s="142"/>
    </row>
    <row r="156" spans="5:5" ht="13" x14ac:dyDescent="0.15">
      <c r="E156" s="142"/>
    </row>
    <row r="157" spans="5:5" ht="13" x14ac:dyDescent="0.15">
      <c r="E157" s="142"/>
    </row>
    <row r="158" spans="5:5" ht="13" x14ac:dyDescent="0.15">
      <c r="E158" s="142"/>
    </row>
    <row r="159" spans="5:5" ht="13" x14ac:dyDescent="0.15">
      <c r="E159" s="142"/>
    </row>
    <row r="160" spans="5:5" ht="13" x14ac:dyDescent="0.15">
      <c r="E160" s="143"/>
    </row>
    <row r="161" spans="4:11" ht="13" x14ac:dyDescent="0.15">
      <c r="E161" s="164"/>
    </row>
    <row r="162" spans="4:11" x14ac:dyDescent="0.15">
      <c r="E162" s="3"/>
    </row>
    <row r="167" spans="4:11" x14ac:dyDescent="0.15">
      <c r="D167" s="37" t="s">
        <v>104</v>
      </c>
      <c r="G167" s="37" t="s">
        <v>105</v>
      </c>
      <c r="J167" s="37" t="s">
        <v>106</v>
      </c>
    </row>
    <row r="168" spans="4:11" ht="14" thickBot="1" x14ac:dyDescent="0.2">
      <c r="D168" s="38" t="s">
        <v>108</v>
      </c>
    </row>
    <row r="169" spans="4:11" ht="13" x14ac:dyDescent="0.15">
      <c r="D169" s="134" t="s">
        <v>136</v>
      </c>
      <c r="E169" s="34">
        <f>-Initial_Investment-0.000001</f>
        <v>-299800.00000100001</v>
      </c>
      <c r="F169" s="107" t="s">
        <v>0</v>
      </c>
      <c r="G169" s="134" t="s">
        <v>136</v>
      </c>
      <c r="H169" s="34">
        <f>-Initial_Investment-0.000001</f>
        <v>-299800.00000100001</v>
      </c>
      <c r="J169" s="134" t="s">
        <v>136</v>
      </c>
      <c r="K169" s="34">
        <f>-Initial_Investment-0.000001</f>
        <v>-299800.00000100001</v>
      </c>
    </row>
    <row r="170" spans="4:11" ht="13" x14ac:dyDescent="0.15">
      <c r="D170" s="135" t="s">
        <v>137</v>
      </c>
      <c r="E170" s="33">
        <f>CFBT_1+0.000001</f>
        <v>-10443.042824184238</v>
      </c>
      <c r="F170" s="31"/>
      <c r="G170" s="135" t="s">
        <v>137</v>
      </c>
      <c r="H170" s="33">
        <f>CFBT_1+0.000001</f>
        <v>-10443.042824184238</v>
      </c>
      <c r="J170" s="135" t="s">
        <v>137</v>
      </c>
      <c r="K170" s="33">
        <f>CFBT_1+0.000001</f>
        <v>-10443.042824184238</v>
      </c>
    </row>
    <row r="171" spans="4:11" ht="13" x14ac:dyDescent="0.15">
      <c r="D171" s="135" t="s">
        <v>138</v>
      </c>
      <c r="E171" s="33">
        <f>CFBT_2</f>
        <v>-8568.9128251842412</v>
      </c>
      <c r="F171" s="31"/>
      <c r="G171" s="135" t="s">
        <v>138</v>
      </c>
      <c r="H171" s="33">
        <f>CFBT_2</f>
        <v>-8568.9128251842412</v>
      </c>
      <c r="J171" s="135" t="s">
        <v>138</v>
      </c>
      <c r="K171" s="39">
        <f>CFBT_2</f>
        <v>-8568.9128251842412</v>
      </c>
    </row>
    <row r="172" spans="4:11" ht="13" x14ac:dyDescent="0.15">
      <c r="D172" s="135" t="s">
        <v>139</v>
      </c>
      <c r="E172" s="33">
        <f>CFBT_3</f>
        <v>-6638.5589251842466</v>
      </c>
      <c r="F172" s="31"/>
      <c r="G172" s="135" t="s">
        <v>139</v>
      </c>
      <c r="H172" s="33">
        <f>CFBT_3</f>
        <v>-6638.5589251842466</v>
      </c>
      <c r="J172" s="135" t="s">
        <v>139</v>
      </c>
      <c r="K172" s="39">
        <f>CFBT_3</f>
        <v>-6638.5589251842466</v>
      </c>
    </row>
    <row r="173" spans="4:11" ht="13" x14ac:dyDescent="0.15">
      <c r="D173" s="135" t="s">
        <v>140</v>
      </c>
      <c r="E173" s="33">
        <f>CFBT_4</f>
        <v>-4650.2944081842288</v>
      </c>
      <c r="F173" s="31"/>
      <c r="G173" s="135" t="s">
        <v>140</v>
      </c>
      <c r="H173" s="33">
        <f>CFBT_4</f>
        <v>-4650.2944081842288</v>
      </c>
      <c r="J173" s="135" t="s">
        <v>140</v>
      </c>
      <c r="K173" s="39">
        <f>CFBT_4</f>
        <v>-4650.2944081842288</v>
      </c>
    </row>
    <row r="174" spans="4:11" ht="13" x14ac:dyDescent="0.15">
      <c r="D174" s="135" t="s">
        <v>141</v>
      </c>
      <c r="E174" s="142">
        <f>CFBT_5</f>
        <v>-2602.3819556742237</v>
      </c>
      <c r="F174" s="31"/>
      <c r="G174" s="135" t="s">
        <v>141</v>
      </c>
      <c r="H174" s="142">
        <f>CFBT_5</f>
        <v>-2602.3819556742237</v>
      </c>
      <c r="J174" s="135">
        <v>5</v>
      </c>
      <c r="K174" s="142">
        <f>CFBT_5</f>
        <v>-2602.3819556742237</v>
      </c>
    </row>
    <row r="175" spans="4:11" ht="13" x14ac:dyDescent="0.15">
      <c r="D175" s="135" t="s">
        <v>158</v>
      </c>
      <c r="E175" s="142">
        <f>CFBT_6</f>
        <v>-493.03212958892982</v>
      </c>
      <c r="F175" s="31"/>
      <c r="G175" s="135" t="s">
        <v>158</v>
      </c>
      <c r="H175" s="142">
        <f>CFBT_6</f>
        <v>-493.03212958892982</v>
      </c>
      <c r="J175" s="135">
        <v>6</v>
      </c>
      <c r="K175" s="142">
        <f>CFBT_6</f>
        <v>-493.03212958892982</v>
      </c>
    </row>
    <row r="176" spans="4:11" ht="13" x14ac:dyDescent="0.15">
      <c r="D176" s="135" t="s">
        <v>159</v>
      </c>
      <c r="E176" s="142">
        <f>CFBT_7</f>
        <v>1679.5981912789284</v>
      </c>
      <c r="F176" s="31"/>
      <c r="G176" s="135" t="s">
        <v>159</v>
      </c>
      <c r="H176" s="142">
        <f>CFBT_7</f>
        <v>1679.5981912789284</v>
      </c>
      <c r="J176" s="135">
        <v>7</v>
      </c>
      <c r="K176" s="142">
        <f>CFBT_7</f>
        <v>1679.5981912789284</v>
      </c>
    </row>
    <row r="177" spans="4:11" ht="13" x14ac:dyDescent="0.15">
      <c r="D177" s="135" t="s">
        <v>160</v>
      </c>
      <c r="E177" s="142">
        <f>CFBT_8</f>
        <v>3917.4074217728194</v>
      </c>
      <c r="F177" s="31"/>
      <c r="G177" s="135" t="s">
        <v>160</v>
      </c>
      <c r="H177" s="142">
        <f>CFBT_8</f>
        <v>3917.4074217728194</v>
      </c>
      <c r="J177" s="135">
        <v>8</v>
      </c>
      <c r="K177" s="142">
        <f>CFBT_8</f>
        <v>3917.4074217728194</v>
      </c>
    </row>
    <row r="178" spans="4:11" ht="13" x14ac:dyDescent="0.15">
      <c r="D178" s="135" t="s">
        <v>161</v>
      </c>
      <c r="E178" s="142">
        <f>CFBT_9</f>
        <v>6222.350929181528</v>
      </c>
      <c r="F178" s="31"/>
      <c r="G178" s="135" t="s">
        <v>161</v>
      </c>
      <c r="H178" s="142">
        <f>CFBT_9</f>
        <v>6222.350929181528</v>
      </c>
      <c r="J178" s="135">
        <v>9</v>
      </c>
      <c r="K178" s="142">
        <f>CFBT_9</f>
        <v>6222.350929181528</v>
      </c>
    </row>
    <row r="179" spans="4:11" ht="13" x14ac:dyDescent="0.15">
      <c r="D179" s="135">
        <v>10</v>
      </c>
      <c r="E179" s="104">
        <f>CFBT_10+SPBT1</f>
        <v>1708752.759257643</v>
      </c>
      <c r="F179" s="31"/>
      <c r="G179" s="135">
        <v>10</v>
      </c>
      <c r="H179" s="104">
        <f>CFBT_10+SPBT2</f>
        <v>1205808.8647834947</v>
      </c>
      <c r="J179" s="135">
        <v>10</v>
      </c>
      <c r="K179" s="104">
        <f>CFBT_10+SPBT3</f>
        <v>790833.85288940219</v>
      </c>
    </row>
    <row r="180" spans="4:11" ht="16" x14ac:dyDescent="0.2">
      <c r="D180" s="147" t="s">
        <v>116</v>
      </c>
      <c r="E180" s="156">
        <f>IF(AND(E169&gt;=0,SUM(E170:E179)&gt;0)=TRUE,"Infinite!",IRR(E169:E179))</f>
        <v>0.18253989723317976</v>
      </c>
      <c r="F180" s="3"/>
      <c r="G180" s="147" t="s">
        <v>116</v>
      </c>
      <c r="H180" s="156">
        <f>IF(AND(H169&gt;=0,SUM(H170:H179)&gt;0)=TRUE,"Infinite!",IRR(H169:H179))</f>
        <v>0.14172692718431223</v>
      </c>
      <c r="I180" s="80"/>
      <c r="J180" s="80"/>
      <c r="K180" s="156">
        <f>IF(AND(K169&gt;=0,SUM(K170:K179)&gt;0)=TRUE,"Infinite!",IRR(K169:K179))</f>
        <v>9.4289961680926515E-2</v>
      </c>
    </row>
    <row r="181" spans="4:11" x14ac:dyDescent="0.15">
      <c r="E181" s="81"/>
      <c r="F181" s="3"/>
      <c r="G181" s="80"/>
      <c r="H181" s="81"/>
      <c r="I181" s="80"/>
      <c r="J181" s="80"/>
      <c r="K181" s="81"/>
    </row>
    <row r="182" spans="4:11" x14ac:dyDescent="0.15">
      <c r="E182" s="81"/>
      <c r="F182" s="3"/>
      <c r="G182" s="80"/>
      <c r="H182" s="81"/>
      <c r="I182" s="80"/>
      <c r="J182" s="80"/>
      <c r="K182" s="81"/>
    </row>
    <row r="183" spans="4:11" x14ac:dyDescent="0.15">
      <c r="E183" s="81"/>
      <c r="F183" s="3"/>
      <c r="G183" s="80"/>
      <c r="H183" s="81"/>
      <c r="I183" s="80"/>
      <c r="J183" s="80"/>
      <c r="K183" s="81"/>
    </row>
    <row r="184" spans="4:11" x14ac:dyDescent="0.15">
      <c r="E184" s="81"/>
      <c r="F184" s="3"/>
      <c r="G184" s="80"/>
      <c r="H184" s="81"/>
      <c r="I184" s="80"/>
      <c r="J184" s="80"/>
      <c r="K184" s="81"/>
    </row>
    <row r="185" spans="4:11" ht="13" thickBot="1" x14ac:dyDescent="0.2"/>
    <row r="186" spans="4:11" ht="13" x14ac:dyDescent="0.15">
      <c r="D186" s="134" t="s">
        <v>136</v>
      </c>
      <c r="E186" s="34">
        <f>-Initial_Investment-0.000001</f>
        <v>-299800.00000100001</v>
      </c>
      <c r="F186" s="78"/>
      <c r="G186" s="134" t="s">
        <v>136</v>
      </c>
      <c r="H186" s="34">
        <f>-Initial_Investment-0.000001</f>
        <v>-299800.00000100001</v>
      </c>
      <c r="J186" s="134" t="s">
        <v>136</v>
      </c>
      <c r="K186" s="34">
        <f>-Initial_Investment-0.000001</f>
        <v>-299800.00000100001</v>
      </c>
    </row>
    <row r="187" spans="4:11" ht="13" x14ac:dyDescent="0.15">
      <c r="D187" s="135" t="s">
        <v>137</v>
      </c>
      <c r="E187" s="33">
        <f>CFAT_1+0.000001</f>
        <v>1179.837094291888</v>
      </c>
      <c r="F187" s="31"/>
      <c r="G187" s="135" t="s">
        <v>137</v>
      </c>
      <c r="H187" s="33">
        <f>CFAT_1+0.000001</f>
        <v>1179.837094291888</v>
      </c>
      <c r="J187" s="135" t="s">
        <v>137</v>
      </c>
      <c r="K187" s="33">
        <f>CFAT_1+0.000001</f>
        <v>1179.837094291888</v>
      </c>
    </row>
    <row r="188" spans="4:11" ht="13" x14ac:dyDescent="0.15">
      <c r="D188" s="135" t="s">
        <v>138</v>
      </c>
      <c r="E188" s="33">
        <f>CFAT_2</f>
        <v>2724.6614268168614</v>
      </c>
      <c r="F188" s="31"/>
      <c r="G188" s="135" t="s">
        <v>138</v>
      </c>
      <c r="H188" s="33">
        <f>CFAT_2</f>
        <v>2724.6614268168614</v>
      </c>
      <c r="J188" s="135" t="s">
        <v>138</v>
      </c>
      <c r="K188" s="39">
        <f>CFAT_2</f>
        <v>2724.6614268168614</v>
      </c>
    </row>
    <row r="189" spans="4:11" ht="13" x14ac:dyDescent="0.15">
      <c r="D189" s="135" t="s">
        <v>139</v>
      </c>
      <c r="E189" s="33">
        <f>CFAT_3</f>
        <v>3654.0412457168422</v>
      </c>
      <c r="F189" s="31"/>
      <c r="G189" s="135" t="s">
        <v>139</v>
      </c>
      <c r="H189" s="33">
        <f>CFAT_3</f>
        <v>3654.0412457168422</v>
      </c>
      <c r="J189" s="135" t="s">
        <v>139</v>
      </c>
      <c r="K189" s="39">
        <f>CFAT_3</f>
        <v>3654.0412457168422</v>
      </c>
    </row>
    <row r="190" spans="4:11" ht="13" x14ac:dyDescent="0.15">
      <c r="D190" s="135" t="s">
        <v>140</v>
      </c>
      <c r="E190" s="33">
        <f>CFAT_4</f>
        <v>4606.1164336623242</v>
      </c>
      <c r="F190" s="31"/>
      <c r="G190" s="135" t="s">
        <v>140</v>
      </c>
      <c r="H190" s="33">
        <f>CFAT_4</f>
        <v>4606.1164336623242</v>
      </c>
      <c r="J190" s="135" t="s">
        <v>140</v>
      </c>
      <c r="K190" s="39">
        <f>CFAT_4</f>
        <v>4606.1164336623242</v>
      </c>
    </row>
    <row r="191" spans="4:11" ht="13" x14ac:dyDescent="0.15">
      <c r="D191" s="135" t="s">
        <v>141</v>
      </c>
      <c r="E191" s="142">
        <f>CFAT_5</f>
        <v>5581.3296066195107</v>
      </c>
      <c r="F191" s="32"/>
      <c r="G191" s="135" t="s">
        <v>141</v>
      </c>
      <c r="H191" s="104">
        <f>CFAT_5</f>
        <v>5581.3296066195107</v>
      </c>
      <c r="I191" s="28"/>
      <c r="J191" s="135" t="s">
        <v>141</v>
      </c>
      <c r="K191" s="104">
        <f>CFAT_5</f>
        <v>5581.3296066195107</v>
      </c>
    </row>
    <row r="192" spans="4:11" ht="13" x14ac:dyDescent="0.15">
      <c r="D192" s="135" t="s">
        <v>158</v>
      </c>
      <c r="E192" s="142">
        <f>CFAT_6</f>
        <v>6580.1257140951238</v>
      </c>
      <c r="F192" s="3"/>
      <c r="G192" s="135" t="s">
        <v>158</v>
      </c>
      <c r="H192" s="142">
        <f>CFAT_6</f>
        <v>6580.1257140951238</v>
      </c>
      <c r="I192" s="80"/>
      <c r="J192" s="135" t="s">
        <v>158</v>
      </c>
      <c r="K192" s="142">
        <f>CFAT_6</f>
        <v>6580.1257140951238</v>
      </c>
    </row>
    <row r="193" spans="4:11" ht="13" x14ac:dyDescent="0.15">
      <c r="D193" s="135" t="s">
        <v>159</v>
      </c>
      <c r="E193" s="142">
        <f>CFAT_7</f>
        <v>7602.9516063342071</v>
      </c>
      <c r="G193" s="135" t="s">
        <v>159</v>
      </c>
      <c r="H193" s="142">
        <f>CFAT_7</f>
        <v>7602.9516063342071</v>
      </c>
      <c r="J193" s="135" t="s">
        <v>159</v>
      </c>
      <c r="K193" s="142">
        <f>CFAT_7</f>
        <v>7602.9516063342071</v>
      </c>
    </row>
    <row r="194" spans="4:11" ht="13" x14ac:dyDescent="0.15">
      <c r="D194" s="135" t="s">
        <v>160</v>
      </c>
      <c r="E194" s="142">
        <f>CFAT_8</f>
        <v>8650.2555654345797</v>
      </c>
      <c r="G194" s="135" t="s">
        <v>160</v>
      </c>
      <c r="H194" s="142">
        <f>CFAT_8</f>
        <v>8650.2555654345797</v>
      </c>
      <c r="J194" s="135" t="s">
        <v>160</v>
      </c>
      <c r="K194" s="142">
        <f>CFAT_8</f>
        <v>8650.2555654345797</v>
      </c>
    </row>
    <row r="195" spans="4:11" ht="13" x14ac:dyDescent="0.15">
      <c r="D195" s="135" t="s">
        <v>161</v>
      </c>
      <c r="E195" s="142">
        <f>CFAT_9</f>
        <v>9722.4867982349988</v>
      </c>
      <c r="G195" s="135" t="s">
        <v>161</v>
      </c>
      <c r="H195" s="142">
        <f>CFAT_9</f>
        <v>9722.4867982349988</v>
      </c>
      <c r="J195" s="135" t="s">
        <v>161</v>
      </c>
      <c r="K195" s="142">
        <f>CFAT_9</f>
        <v>9722.4867982349988</v>
      </c>
    </row>
    <row r="196" spans="4:11" ht="13" x14ac:dyDescent="0.15">
      <c r="D196" s="135">
        <v>10</v>
      </c>
      <c r="E196" s="104">
        <f>CFAT_10+SPAT1</f>
        <v>1369099.4476218717</v>
      </c>
      <c r="G196" s="135">
        <v>10</v>
      </c>
      <c r="H196" s="104">
        <f>CFAT_10+SPAT2</f>
        <v>966744.33204255335</v>
      </c>
      <c r="J196" s="135">
        <v>10</v>
      </c>
      <c r="K196" s="104">
        <f>CFAT_10+SPAT3</f>
        <v>634764.32252727926</v>
      </c>
    </row>
    <row r="197" spans="4:11" ht="16" x14ac:dyDescent="0.2">
      <c r="D197" s="147" t="s">
        <v>116</v>
      </c>
      <c r="E197" s="156">
        <f>IF(AND(E186&gt;=0,SUM(E187:E196)&gt;0)=TRUE,"Infinite!",IRR(E186:E196))</f>
        <v>0.17209220769106626</v>
      </c>
      <c r="G197" s="147" t="s">
        <v>116</v>
      </c>
      <c r="H197" s="156">
        <f>IF(AND(H186&gt;=0,SUM(H187:H196)&gt;0)=TRUE,"Infinite!",IRR(H186:H196))</f>
        <v>0.13363704022941736</v>
      </c>
      <c r="J197" s="147" t="s">
        <v>116</v>
      </c>
      <c r="K197" s="156">
        <f>IF(AND(K186&gt;=0,SUM(K187:K196)&gt;0)=TRUE,"Infinite!",IRR(K186:K196))</f>
        <v>8.9360302869464725E-2</v>
      </c>
    </row>
  </sheetData>
  <mergeCells count="2">
    <mergeCell ref="B66:M66"/>
    <mergeCell ref="B67:M67"/>
  </mergeCells>
  <phoneticPr fontId="2" type="noConversion"/>
  <printOptions gridLinesSet="0"/>
  <pageMargins left="0.32" right="0.24" top="1" bottom="1" header="0.5" footer="0.5"/>
  <pageSetup scale="80" orientation="portrait" horizontalDpi="4294967292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M57"/>
  <sheetViews>
    <sheetView showGridLines="0" showRowColHeaders="0" workbookViewId="0">
      <selection activeCell="B14" sqref="B14"/>
    </sheetView>
  </sheetViews>
  <sheetFormatPr baseColWidth="10" defaultColWidth="9" defaultRowHeight="12" x14ac:dyDescent="0.15"/>
  <cols>
    <col min="1" max="1" width="28.796875" customWidth="1"/>
    <col min="2" max="8" width="8.796875" customWidth="1"/>
  </cols>
  <sheetData>
    <row r="1" spans="1:13" x14ac:dyDescent="0.15">
      <c r="A1" t="s">
        <v>119</v>
      </c>
      <c r="B1" s="288">
        <v>0.35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x14ac:dyDescent="0.15">
      <c r="A2" t="s">
        <v>120</v>
      </c>
      <c r="B2" s="288">
        <v>0.2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13" thickBot="1" x14ac:dyDescent="0.2">
      <c r="A3" t="s">
        <v>121</v>
      </c>
      <c r="B3" s="288">
        <v>0.25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3" ht="15" thickTop="1" thickBot="1" x14ac:dyDescent="0.2">
      <c r="A4" t="s">
        <v>122</v>
      </c>
      <c r="B4" s="289">
        <f>MONTH(In_Service_date)</f>
        <v>1</v>
      </c>
      <c r="C4" s="290"/>
      <c r="D4" s="182"/>
      <c r="E4" s="182"/>
      <c r="F4" s="182"/>
      <c r="G4" s="182"/>
      <c r="H4" s="182"/>
      <c r="I4" s="182"/>
      <c r="J4" s="182"/>
      <c r="K4" s="182"/>
      <c r="L4" s="182"/>
      <c r="M4" s="182"/>
    </row>
    <row r="5" spans="1:13" ht="15.75" customHeight="1" thickTop="1" x14ac:dyDescent="0.15">
      <c r="A5" s="172" t="s">
        <v>156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1:13" ht="13" thickBot="1" x14ac:dyDescent="0.2">
      <c r="B6" s="210" t="s">
        <v>123</v>
      </c>
      <c r="C6" s="210">
        <v>1</v>
      </c>
      <c r="D6" s="210">
        <v>2</v>
      </c>
      <c r="E6" s="210">
        <v>3</v>
      </c>
      <c r="F6" s="210">
        <v>4</v>
      </c>
      <c r="G6" s="210">
        <v>5</v>
      </c>
      <c r="H6" s="210">
        <v>6</v>
      </c>
      <c r="I6" s="210">
        <v>7</v>
      </c>
      <c r="J6" s="210">
        <v>8</v>
      </c>
      <c r="K6" s="210">
        <v>9</v>
      </c>
      <c r="L6" s="210">
        <v>10</v>
      </c>
      <c r="M6" s="210">
        <v>11</v>
      </c>
    </row>
    <row r="7" spans="1:13" ht="14" thickTop="1" thickBot="1" x14ac:dyDescent="0.2">
      <c r="A7" t="s">
        <v>124</v>
      </c>
      <c r="B7" s="182"/>
      <c r="C7" s="291">
        <v>0</v>
      </c>
      <c r="D7" s="292">
        <f>Vac_Yr_1</f>
        <v>0</v>
      </c>
      <c r="E7" s="292">
        <f>Vac_Yr_2</f>
        <v>0</v>
      </c>
      <c r="F7" s="292">
        <f>+E7</f>
        <v>0</v>
      </c>
      <c r="G7" s="292">
        <f>+F7</f>
        <v>0</v>
      </c>
      <c r="H7" s="292">
        <f>Vac_Yr_5</f>
        <v>0</v>
      </c>
      <c r="I7" s="292">
        <f>Vac_Yr_6</f>
        <v>0</v>
      </c>
      <c r="J7" s="292">
        <f t="shared" ref="J7:M10" si="0">+I7</f>
        <v>0</v>
      </c>
      <c r="K7" s="292">
        <f t="shared" si="0"/>
        <v>0</v>
      </c>
      <c r="L7" s="292">
        <f t="shared" si="0"/>
        <v>0</v>
      </c>
      <c r="M7" s="292">
        <f t="shared" si="0"/>
        <v>0</v>
      </c>
    </row>
    <row r="8" spans="1:13" ht="14" thickTop="1" thickBot="1" x14ac:dyDescent="0.2">
      <c r="A8" t="s">
        <v>125</v>
      </c>
      <c r="B8" s="182"/>
      <c r="C8" s="292"/>
      <c r="D8" s="293">
        <v>0.03</v>
      </c>
      <c r="E8" s="292">
        <f t="shared" ref="E8:H10" si="1">+D8</f>
        <v>0.03</v>
      </c>
      <c r="F8" s="292">
        <f t="shared" si="1"/>
        <v>0.03</v>
      </c>
      <c r="G8" s="292">
        <f t="shared" si="1"/>
        <v>0.03</v>
      </c>
      <c r="H8" s="292">
        <f t="shared" si="1"/>
        <v>0.03</v>
      </c>
      <c r="I8" s="292">
        <f>+H8</f>
        <v>0.03</v>
      </c>
      <c r="J8" s="292">
        <f t="shared" si="0"/>
        <v>0.03</v>
      </c>
      <c r="K8" s="292">
        <f t="shared" si="0"/>
        <v>0.03</v>
      </c>
      <c r="L8" s="292">
        <f t="shared" si="0"/>
        <v>0.03</v>
      </c>
      <c r="M8" s="292">
        <f t="shared" si="0"/>
        <v>0.03</v>
      </c>
    </row>
    <row r="9" spans="1:13" ht="13" thickTop="1" x14ac:dyDescent="0.15">
      <c r="A9" t="s">
        <v>176</v>
      </c>
      <c r="B9" s="182"/>
      <c r="C9" s="292"/>
      <c r="D9" s="293">
        <v>0.03</v>
      </c>
      <c r="E9" s="292">
        <f>+D9</f>
        <v>0.03</v>
      </c>
      <c r="F9" s="292">
        <f>+E9</f>
        <v>0.03</v>
      </c>
      <c r="G9" s="292">
        <f>+F9</f>
        <v>0.03</v>
      </c>
      <c r="H9" s="292">
        <f>+G9</f>
        <v>0.03</v>
      </c>
      <c r="I9" s="292">
        <f>+H9</f>
        <v>0.03</v>
      </c>
      <c r="J9" s="292">
        <f t="shared" si="0"/>
        <v>0.03</v>
      </c>
      <c r="K9" s="292">
        <f t="shared" si="0"/>
        <v>0.03</v>
      </c>
      <c r="L9" s="292">
        <f t="shared" si="0"/>
        <v>0.03</v>
      </c>
      <c r="M9" s="292">
        <f t="shared" si="0"/>
        <v>0.03</v>
      </c>
    </row>
    <row r="10" spans="1:13" ht="13" thickBot="1" x14ac:dyDescent="0.2">
      <c r="A10" t="s">
        <v>126</v>
      </c>
      <c r="B10" s="182"/>
      <c r="C10" s="292"/>
      <c r="D10" s="294">
        <v>0.03</v>
      </c>
      <c r="E10" s="292">
        <f t="shared" si="1"/>
        <v>0.03</v>
      </c>
      <c r="F10" s="292">
        <f t="shared" si="1"/>
        <v>0.03</v>
      </c>
      <c r="G10" s="292">
        <f t="shared" si="1"/>
        <v>0.03</v>
      </c>
      <c r="H10" s="292">
        <f t="shared" si="1"/>
        <v>0.03</v>
      </c>
      <c r="I10" s="292">
        <f>+H10</f>
        <v>0.03</v>
      </c>
      <c r="J10" s="292">
        <f t="shared" si="0"/>
        <v>0.03</v>
      </c>
      <c r="K10" s="292">
        <f t="shared" si="0"/>
        <v>0.03</v>
      </c>
      <c r="L10" s="292">
        <f t="shared" si="0"/>
        <v>0.03</v>
      </c>
      <c r="M10" s="292">
        <f t="shared" si="0"/>
        <v>0.03</v>
      </c>
    </row>
    <row r="11" spans="1:13" ht="13" thickTop="1" x14ac:dyDescent="0.15"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</row>
    <row r="12" spans="1:13" x14ac:dyDescent="0.15">
      <c r="B12" s="182" t="s">
        <v>104</v>
      </c>
      <c r="C12" s="182"/>
      <c r="D12" s="182" t="s">
        <v>105</v>
      </c>
      <c r="E12" s="182"/>
      <c r="F12" s="182" t="s">
        <v>106</v>
      </c>
      <c r="G12" s="182"/>
      <c r="H12" s="182"/>
      <c r="I12" s="182"/>
      <c r="J12" s="182"/>
      <c r="K12" s="182"/>
      <c r="L12" s="182"/>
      <c r="M12" s="182"/>
    </row>
    <row r="13" spans="1:13" x14ac:dyDescent="0.15">
      <c r="A13" t="s">
        <v>127</v>
      </c>
      <c r="B13" s="292">
        <v>0.04</v>
      </c>
      <c r="C13" s="292"/>
      <c r="D13" s="292">
        <v>0.06</v>
      </c>
      <c r="E13" s="292"/>
      <c r="F13" s="292">
        <v>7.0000000000000007E-2</v>
      </c>
      <c r="G13" s="182"/>
      <c r="H13" s="182"/>
      <c r="I13" s="182"/>
      <c r="J13" s="182"/>
      <c r="K13" s="182"/>
      <c r="L13" s="182"/>
      <c r="M13" s="182"/>
    </row>
    <row r="14" spans="1:13" x14ac:dyDescent="0.15">
      <c r="A14" t="s">
        <v>128</v>
      </c>
      <c r="B14" s="292">
        <v>6.5000000000000002E-2</v>
      </c>
      <c r="C14" s="292"/>
      <c r="D14" s="292"/>
      <c r="E14" s="292"/>
      <c r="F14" s="292"/>
      <c r="G14" s="182"/>
      <c r="H14" s="182"/>
      <c r="I14" s="182"/>
      <c r="J14" s="182"/>
      <c r="K14" s="182"/>
      <c r="L14" s="182"/>
      <c r="M14" s="182"/>
    </row>
    <row r="17" spans="2:4" x14ac:dyDescent="0.15">
      <c r="B17" s="297" t="s">
        <v>199</v>
      </c>
      <c r="C17" s="298"/>
      <c r="D17" s="299"/>
    </row>
    <row r="18" spans="2:4" x14ac:dyDescent="0.15">
      <c r="B18" s="364" t="s">
        <v>200</v>
      </c>
      <c r="C18" s="365"/>
      <c r="D18" s="300">
        <v>0</v>
      </c>
    </row>
    <row r="19" spans="2:4" x14ac:dyDescent="0.15">
      <c r="B19" s="366" t="s">
        <v>201</v>
      </c>
      <c r="C19" s="367"/>
      <c r="D19" s="301">
        <v>0</v>
      </c>
    </row>
    <row r="23" spans="2:4" x14ac:dyDescent="0.15">
      <c r="B23" s="11"/>
      <c r="C23" s="11"/>
      <c r="D23" s="11"/>
    </row>
    <row r="24" spans="2:4" x14ac:dyDescent="0.15">
      <c r="B24" s="11"/>
      <c r="C24" s="11"/>
      <c r="D24" s="11"/>
    </row>
    <row r="25" spans="2:4" x14ac:dyDescent="0.15">
      <c r="B25" s="11"/>
      <c r="C25" s="11"/>
      <c r="D25" s="11"/>
    </row>
    <row r="26" spans="2:4" x14ac:dyDescent="0.15">
      <c r="B26" s="11"/>
      <c r="C26" s="11"/>
      <c r="D26" s="11"/>
    </row>
    <row r="27" spans="2:4" x14ac:dyDescent="0.15">
      <c r="B27" s="11"/>
      <c r="C27" s="11"/>
      <c r="D27" s="11"/>
    </row>
    <row r="28" spans="2:4" x14ac:dyDescent="0.15">
      <c r="B28" s="11"/>
      <c r="C28" s="11"/>
      <c r="D28" s="11"/>
    </row>
    <row r="29" spans="2:4" x14ac:dyDescent="0.15">
      <c r="B29" s="11"/>
      <c r="C29" s="11"/>
      <c r="D29" s="11"/>
    </row>
    <row r="30" spans="2:4" x14ac:dyDescent="0.15">
      <c r="B30" s="11"/>
      <c r="C30" s="11"/>
      <c r="D30" s="11"/>
    </row>
    <row r="31" spans="2:4" x14ac:dyDescent="0.15">
      <c r="B31" s="11"/>
      <c r="C31" s="11"/>
      <c r="D31" s="11"/>
    </row>
    <row r="32" spans="2:4" x14ac:dyDescent="0.15">
      <c r="B32" s="11"/>
      <c r="C32" s="11"/>
      <c r="D32" s="11"/>
    </row>
    <row r="33" spans="2:4" x14ac:dyDescent="0.15">
      <c r="B33" s="11"/>
      <c r="C33" s="11"/>
      <c r="D33" s="11"/>
    </row>
    <row r="34" spans="2:4" x14ac:dyDescent="0.15">
      <c r="B34" s="11"/>
      <c r="C34" s="11"/>
      <c r="D34" s="11"/>
    </row>
    <row r="51" spans="2:8" ht="13" thickBot="1" x14ac:dyDescent="0.2">
      <c r="B51" s="11"/>
      <c r="C51" s="11"/>
      <c r="D51" s="11"/>
    </row>
    <row r="52" spans="2:8" ht="13" thickTop="1" x14ac:dyDescent="0.15">
      <c r="B52" s="110"/>
      <c r="C52" s="111"/>
      <c r="D52" s="112" t="s">
        <v>13</v>
      </c>
      <c r="E52" s="112" t="s">
        <v>129</v>
      </c>
      <c r="F52" s="113"/>
      <c r="G52" s="113"/>
      <c r="H52" s="114"/>
    </row>
    <row r="53" spans="2:8" x14ac:dyDescent="0.15">
      <c r="B53" s="115" t="s">
        <v>130</v>
      </c>
      <c r="C53" s="3"/>
      <c r="D53" s="116" t="str">
        <f>IF(Pmts_Year_Mtg_1=12,"Monthly",IF(Pmts_Year_Mtg_1=4,"Quarterly",IF(Pmts_Year_Mtg_1=1,"Annually",)))</f>
        <v>Monthly</v>
      </c>
      <c r="E53" s="116" t="str">
        <f>IF(Pmts_Year_Mtg_2=12,"Monthly",IF(Pmts_Year_Mtg_2=4,"Quarterly",IF(Pmts_Year_Mtg_2=1,"Annually",)))</f>
        <v>Monthly</v>
      </c>
      <c r="F53" s="3"/>
      <c r="G53" s="3"/>
      <c r="H53" s="117"/>
    </row>
    <row r="54" spans="2:8" ht="13" thickBot="1" x14ac:dyDescent="0.2">
      <c r="B54" s="118"/>
      <c r="C54" s="119" t="s">
        <v>24</v>
      </c>
      <c r="D54" s="120">
        <f>IF(Pmts_Year_Mtg_1=12,13-Month_Placed_in_Svc,IF(Pmts_Year_Mtg_1=1,1,IF(Pmts_Year_Mtg_1=4,IF(Month_Placed_in_Svc&gt;9,1,IF(Month_Placed_in_Svc&gt;6,2,IF(Month_Placed_in_Svc&gt;3,3,4))))))</f>
        <v>12</v>
      </c>
      <c r="E54" s="120">
        <f>IF(Pmts_Year_Mtg_2=12,13-Month_Placed_in_Svc,IF(Pmts_Year_Mtg_2=1,1,IF(Pmts_Year_Mtg_2=4,IF(Month_Placed_in_Svc&gt;9,1,IF(Month_Placed_in_Svc&gt;6,2,IF(Month_Placed_in_Svc&gt;3,3,4))))))</f>
        <v>12</v>
      </c>
      <c r="F54" s="121" t="s">
        <v>131</v>
      </c>
      <c r="G54" s="121"/>
      <c r="H54" s="122"/>
    </row>
    <row r="55" spans="2:8" ht="13" thickTop="1" x14ac:dyDescent="0.15">
      <c r="B55" s="11"/>
      <c r="C55" s="11"/>
      <c r="D55" s="11"/>
    </row>
    <row r="56" spans="2:8" x14ac:dyDescent="0.15">
      <c r="B56" s="11"/>
      <c r="C56" s="11"/>
      <c r="D56" s="11"/>
    </row>
    <row r="57" spans="2:8" x14ac:dyDescent="0.15">
      <c r="B57" s="178">
        <v>0</v>
      </c>
      <c r="C57" t="s">
        <v>180</v>
      </c>
    </row>
  </sheetData>
  <mergeCells count="2">
    <mergeCell ref="B18:C18"/>
    <mergeCell ref="B19:C19"/>
  </mergeCells>
  <phoneticPr fontId="2" type="noConversion"/>
  <printOptions gridLinesSet="0"/>
  <pageMargins left="0.75" right="0.75" top="1" bottom="1" header="0.5" footer="0.5"/>
  <pageSetup orientation="portrait" horizontalDpi="4294967292" verticalDpi="300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="190" zoomScaleNormal="190" zoomScalePageLayoutView="190" workbookViewId="0">
      <selection activeCell="A6" sqref="A6"/>
    </sheetView>
  </sheetViews>
  <sheetFormatPr baseColWidth="10" defaultRowHeight="12" x14ac:dyDescent="0.15"/>
  <cols>
    <col min="2" max="2" width="13.3984375" bestFit="1" customWidth="1"/>
  </cols>
  <sheetData>
    <row r="1" spans="1:2" x14ac:dyDescent="0.15">
      <c r="A1" t="s">
        <v>208</v>
      </c>
      <c r="B1" s="302">
        <f>purchase_price</f>
        <v>1499000</v>
      </c>
    </row>
    <row r="2" spans="1:2" x14ac:dyDescent="0.15">
      <c r="A2" s="14">
        <v>0.02</v>
      </c>
      <c r="B2" s="303">
        <f>FV(0.02,11,0,-B1,1)</f>
        <v>1863818.0882835833</v>
      </c>
    </row>
    <row r="3" spans="1:2" x14ac:dyDescent="0.15">
      <c r="A3" s="14">
        <v>0.04</v>
      </c>
      <c r="B3" s="303">
        <f>FV(0.04,11,0,-B1,1)</f>
        <v>2307641.6304163025</v>
      </c>
    </row>
    <row r="4" spans="1:2" x14ac:dyDescent="0.15">
      <c r="A4" s="14">
        <v>0.06</v>
      </c>
      <c r="B4" s="303">
        <f>FV(0.06,11,0,-B1,1)</f>
        <v>2845549.5389448036</v>
      </c>
    </row>
  </sheetData>
  <phoneticPr fontId="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APOD</vt:lpstr>
      <vt:lpstr>Sheet1</vt:lpstr>
      <vt:lpstr>CashFlows</vt:lpstr>
      <vt:lpstr>Sales</vt:lpstr>
      <vt:lpstr>IRR~NPV</vt:lpstr>
      <vt:lpstr>Assumptions</vt:lpstr>
      <vt:lpstr>Appreciation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newdual</dc:title>
  <dc:creator>Gary G. Tharp, CCIM</dc:creator>
  <cp:lastModifiedBy>Microsoft Office User</cp:lastModifiedBy>
  <cp:lastPrinted>2018-01-30T20:22:44Z</cp:lastPrinted>
  <dcterms:created xsi:type="dcterms:W3CDTF">1998-07-10T18:07:03Z</dcterms:created>
  <dcterms:modified xsi:type="dcterms:W3CDTF">2018-03-14T20:18:20Z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-359756828</vt:i4>
  </property>
  <property fmtid="{D5CDD505-2E9C-101B-9397-08002B2CF9AE}" pid="3" name="_EmailSubject">
    <vt:lpwstr>bad files, please repost</vt:lpwstr>
  </property>
  <property fmtid="{D5CDD505-2E9C-101B-9397-08002B2CF9AE}" pid="4" name="_AuthorEmail">
    <vt:lpwstr>ebury@cciminstitute.com</vt:lpwstr>
  </property>
  <property fmtid="{D5CDD505-2E9C-101B-9397-08002B2CF9AE}" pid="5" name="_AuthorEmailDisplayName">
    <vt:lpwstr>Bury, Edward</vt:lpwstr>
  </property>
  <property fmtid="{D5CDD505-2E9C-101B-9397-08002B2CF9AE}" pid="6" name="_ReviewingToolsShownOnce">
    <vt:lpwstr/>
  </property>
</Properties>
</file>