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52" windowWidth="11196" windowHeight="8676" activeTab="1"/>
  </bookViews>
  <sheets>
    <sheet name="Inputs" sheetId="1" r:id="rId1"/>
    <sheet name="Cash-Flow" sheetId="3" r:id="rId2"/>
    <sheet name="15 Year Analysis" sheetId="4" r:id="rId3"/>
    <sheet name="15 Year with Extra Principal" sheetId="5" r:id="rId4"/>
    <sheet name="15 Year with CF to Principal" sheetId="6" r:id="rId5"/>
    <sheet name="What-If" sheetId="7" r:id="rId6"/>
  </sheets>
  <definedNames>
    <definedName name="NumberUnits">Inputs!$K$2</definedName>
  </definedNames>
  <calcPr calcId="145621"/>
</workbook>
</file>

<file path=xl/calcChain.xml><?xml version="1.0" encoding="utf-8"?>
<calcChain xmlns="http://schemas.openxmlformats.org/spreadsheetml/2006/main">
  <c r="A49" i="7" l="1"/>
  <c r="I36" i="7"/>
  <c r="K36" i="7" s="1"/>
  <c r="E36" i="7"/>
  <c r="G36" i="7" s="1"/>
  <c r="C36" i="7"/>
  <c r="A36" i="7"/>
  <c r="I35" i="7"/>
  <c r="K35" i="7" s="1"/>
  <c r="E35" i="7"/>
  <c r="G35" i="7" s="1"/>
  <c r="C35" i="7"/>
  <c r="A35" i="7"/>
  <c r="I34" i="7"/>
  <c r="K34" i="7" s="1"/>
  <c r="E34" i="7"/>
  <c r="G34" i="7" s="1"/>
  <c r="C34" i="7"/>
  <c r="A34" i="7"/>
  <c r="I33" i="7"/>
  <c r="K33" i="7" s="1"/>
  <c r="E33" i="7"/>
  <c r="G33" i="7" s="1"/>
  <c r="C33" i="7"/>
  <c r="A33" i="7"/>
  <c r="I32" i="7"/>
  <c r="K32" i="7" s="1"/>
  <c r="E32" i="7"/>
  <c r="G32" i="7" s="1"/>
  <c r="C32" i="7"/>
  <c r="A32" i="7"/>
  <c r="I31" i="7"/>
  <c r="K31" i="7" s="1"/>
  <c r="C31" i="7"/>
  <c r="E31" i="7" s="1"/>
  <c r="G31" i="7" s="1"/>
  <c r="A31" i="7"/>
  <c r="I30" i="7"/>
  <c r="K30" i="7" s="1"/>
  <c r="E30" i="7"/>
  <c r="G30" i="7" s="1"/>
  <c r="C30" i="7"/>
  <c r="K29" i="7"/>
  <c r="I29" i="7"/>
  <c r="G29" i="7"/>
  <c r="C29" i="7"/>
  <c r="E29" i="7" s="1"/>
  <c r="I28" i="7"/>
  <c r="K28" i="7" s="1"/>
  <c r="E28" i="7"/>
  <c r="G28" i="7" s="1"/>
  <c r="C28" i="7"/>
  <c r="K27" i="7"/>
  <c r="I27" i="7"/>
  <c r="C27" i="7"/>
  <c r="E27" i="7" s="1"/>
  <c r="G27" i="7" s="1"/>
  <c r="I26" i="7"/>
  <c r="K26" i="7" s="1"/>
  <c r="E26" i="7"/>
  <c r="G26" i="7" s="1"/>
  <c r="C26" i="7"/>
  <c r="I25" i="7"/>
  <c r="K25" i="7" s="1"/>
  <c r="C25" i="7"/>
  <c r="E25" i="7" s="1"/>
  <c r="G25" i="7" s="1"/>
  <c r="I24" i="7"/>
  <c r="K24" i="7" s="1"/>
  <c r="C24" i="7"/>
  <c r="E24" i="7" s="1"/>
  <c r="G24" i="7" s="1"/>
  <c r="K23" i="7"/>
  <c r="I23" i="7"/>
  <c r="C23" i="7"/>
  <c r="E23" i="7" s="1"/>
  <c r="G23" i="7" s="1"/>
  <c r="I22" i="7"/>
  <c r="C22" i="7"/>
  <c r="E22" i="7" s="1"/>
  <c r="G22" i="7" s="1"/>
  <c r="K12" i="7"/>
  <c r="I12" i="7"/>
  <c r="G12" i="7"/>
  <c r="E12" i="7"/>
  <c r="C12" i="7"/>
  <c r="K10" i="7"/>
  <c r="I10" i="7"/>
  <c r="G10" i="7"/>
  <c r="E10" i="7"/>
  <c r="C10" i="7"/>
  <c r="E9" i="7"/>
  <c r="K9" i="7" s="1"/>
  <c r="I7" i="7"/>
  <c r="G7" i="7"/>
  <c r="E7" i="7"/>
  <c r="K7" i="7" s="1"/>
  <c r="C7" i="7"/>
  <c r="A53" i="6"/>
  <c r="C39" i="6"/>
  <c r="E39" i="6" s="1"/>
  <c r="G39" i="6" s="1"/>
  <c r="C30" i="6"/>
  <c r="E30" i="6" s="1"/>
  <c r="G30" i="6" s="1"/>
  <c r="I30" i="6" s="1"/>
  <c r="K30" i="6" s="1"/>
  <c r="M30" i="6" s="1"/>
  <c r="O30" i="6" s="1"/>
  <c r="Q30" i="6" s="1"/>
  <c r="S30" i="6" s="1"/>
  <c r="U30" i="6" s="1"/>
  <c r="W30" i="6" s="1"/>
  <c r="Y30" i="6" s="1"/>
  <c r="AA30" i="6" s="1"/>
  <c r="AC30" i="6" s="1"/>
  <c r="AE30" i="6" s="1"/>
  <c r="AG30" i="6" s="1"/>
  <c r="A30" i="6"/>
  <c r="E29" i="6"/>
  <c r="G29" i="6" s="1"/>
  <c r="I29" i="6" s="1"/>
  <c r="K29" i="6" s="1"/>
  <c r="M29" i="6" s="1"/>
  <c r="O29" i="6" s="1"/>
  <c r="Q29" i="6" s="1"/>
  <c r="S29" i="6" s="1"/>
  <c r="U29" i="6" s="1"/>
  <c r="W29" i="6" s="1"/>
  <c r="Y29" i="6" s="1"/>
  <c r="AA29" i="6" s="1"/>
  <c r="AC29" i="6" s="1"/>
  <c r="AE29" i="6" s="1"/>
  <c r="AG29" i="6" s="1"/>
  <c r="C29" i="6"/>
  <c r="A29" i="6"/>
  <c r="Q28" i="6"/>
  <c r="S28" i="6" s="1"/>
  <c r="U28" i="6" s="1"/>
  <c r="W28" i="6" s="1"/>
  <c r="Y28" i="6" s="1"/>
  <c r="AA28" i="6" s="1"/>
  <c r="AC28" i="6" s="1"/>
  <c r="AE28" i="6" s="1"/>
  <c r="AG28" i="6" s="1"/>
  <c r="G28" i="6"/>
  <c r="I28" i="6" s="1"/>
  <c r="K28" i="6" s="1"/>
  <c r="M28" i="6" s="1"/>
  <c r="O28" i="6" s="1"/>
  <c r="C28" i="6"/>
  <c r="E28" i="6" s="1"/>
  <c r="A28" i="6"/>
  <c r="C27" i="6"/>
  <c r="E27" i="6" s="1"/>
  <c r="G27" i="6" s="1"/>
  <c r="I27" i="6" s="1"/>
  <c r="K27" i="6" s="1"/>
  <c r="M27" i="6" s="1"/>
  <c r="O27" i="6" s="1"/>
  <c r="Q27" i="6" s="1"/>
  <c r="S27" i="6" s="1"/>
  <c r="U27" i="6" s="1"/>
  <c r="W27" i="6" s="1"/>
  <c r="Y27" i="6" s="1"/>
  <c r="AA27" i="6" s="1"/>
  <c r="AC27" i="6" s="1"/>
  <c r="AE27" i="6" s="1"/>
  <c r="AG27" i="6" s="1"/>
  <c r="A27" i="6"/>
  <c r="M26" i="6"/>
  <c r="O26" i="6" s="1"/>
  <c r="Q26" i="6" s="1"/>
  <c r="S26" i="6" s="1"/>
  <c r="U26" i="6" s="1"/>
  <c r="W26" i="6" s="1"/>
  <c r="Y26" i="6" s="1"/>
  <c r="AA26" i="6" s="1"/>
  <c r="AC26" i="6" s="1"/>
  <c r="AE26" i="6" s="1"/>
  <c r="AG26" i="6" s="1"/>
  <c r="C26" i="6"/>
  <c r="E26" i="6" s="1"/>
  <c r="G26" i="6" s="1"/>
  <c r="I26" i="6" s="1"/>
  <c r="K26" i="6" s="1"/>
  <c r="A26" i="6"/>
  <c r="C25" i="6"/>
  <c r="E25" i="6" s="1"/>
  <c r="G25" i="6" s="1"/>
  <c r="I25" i="6" s="1"/>
  <c r="K25" i="6" s="1"/>
  <c r="M25" i="6" s="1"/>
  <c r="O25" i="6" s="1"/>
  <c r="Q25" i="6" s="1"/>
  <c r="S25" i="6" s="1"/>
  <c r="U25" i="6" s="1"/>
  <c r="W25" i="6" s="1"/>
  <c r="Y25" i="6" s="1"/>
  <c r="AA25" i="6" s="1"/>
  <c r="AC25" i="6" s="1"/>
  <c r="AE25" i="6" s="1"/>
  <c r="AG25" i="6" s="1"/>
  <c r="A25" i="6"/>
  <c r="AG24" i="6"/>
  <c r="K24" i="6"/>
  <c r="M24" i="6" s="1"/>
  <c r="O24" i="6" s="1"/>
  <c r="Q24" i="6" s="1"/>
  <c r="S24" i="6" s="1"/>
  <c r="U24" i="6" s="1"/>
  <c r="W24" i="6" s="1"/>
  <c r="Y24" i="6" s="1"/>
  <c r="AA24" i="6" s="1"/>
  <c r="AC24" i="6" s="1"/>
  <c r="AE24" i="6" s="1"/>
  <c r="C24" i="6"/>
  <c r="E24" i="6" s="1"/>
  <c r="G24" i="6" s="1"/>
  <c r="I24" i="6" s="1"/>
  <c r="I23" i="6"/>
  <c r="K23" i="6" s="1"/>
  <c r="M23" i="6" s="1"/>
  <c r="O23" i="6" s="1"/>
  <c r="Q23" i="6" s="1"/>
  <c r="S23" i="6" s="1"/>
  <c r="U23" i="6" s="1"/>
  <c r="W23" i="6" s="1"/>
  <c r="Y23" i="6" s="1"/>
  <c r="AA23" i="6" s="1"/>
  <c r="AC23" i="6" s="1"/>
  <c r="AE23" i="6" s="1"/>
  <c r="AG23" i="6" s="1"/>
  <c r="C23" i="6"/>
  <c r="E23" i="6" s="1"/>
  <c r="G23" i="6" s="1"/>
  <c r="W22" i="6"/>
  <c r="Y22" i="6" s="1"/>
  <c r="AA22" i="6" s="1"/>
  <c r="AC22" i="6" s="1"/>
  <c r="AE22" i="6" s="1"/>
  <c r="AG22" i="6" s="1"/>
  <c r="C22" i="6"/>
  <c r="E22" i="6" s="1"/>
  <c r="G22" i="6" s="1"/>
  <c r="I22" i="6" s="1"/>
  <c r="K22" i="6" s="1"/>
  <c r="M22" i="6" s="1"/>
  <c r="O22" i="6" s="1"/>
  <c r="Q22" i="6" s="1"/>
  <c r="S22" i="6" s="1"/>
  <c r="U22" i="6" s="1"/>
  <c r="S21" i="6"/>
  <c r="U21" i="6" s="1"/>
  <c r="W21" i="6" s="1"/>
  <c r="Y21" i="6" s="1"/>
  <c r="AA21" i="6" s="1"/>
  <c r="AC21" i="6" s="1"/>
  <c r="AE21" i="6" s="1"/>
  <c r="AG21" i="6" s="1"/>
  <c r="I21" i="6"/>
  <c r="K21" i="6" s="1"/>
  <c r="M21" i="6" s="1"/>
  <c r="O21" i="6" s="1"/>
  <c r="Q21" i="6" s="1"/>
  <c r="C21" i="6"/>
  <c r="E21" i="6" s="1"/>
  <c r="G21" i="6" s="1"/>
  <c r="K20" i="6"/>
  <c r="M20" i="6" s="1"/>
  <c r="O20" i="6" s="1"/>
  <c r="Q20" i="6" s="1"/>
  <c r="S20" i="6" s="1"/>
  <c r="U20" i="6" s="1"/>
  <c r="W20" i="6" s="1"/>
  <c r="Y20" i="6" s="1"/>
  <c r="AA20" i="6" s="1"/>
  <c r="AC20" i="6" s="1"/>
  <c r="AE20" i="6" s="1"/>
  <c r="AG20" i="6" s="1"/>
  <c r="C20" i="6"/>
  <c r="E20" i="6" s="1"/>
  <c r="G20" i="6" s="1"/>
  <c r="I20" i="6" s="1"/>
  <c r="C19" i="6"/>
  <c r="E19" i="6" s="1"/>
  <c r="G19" i="6" s="1"/>
  <c r="I19" i="6" s="1"/>
  <c r="K19" i="6" s="1"/>
  <c r="M19" i="6" s="1"/>
  <c r="O19" i="6" s="1"/>
  <c r="Q19" i="6" s="1"/>
  <c r="S19" i="6" s="1"/>
  <c r="U19" i="6" s="1"/>
  <c r="W19" i="6" s="1"/>
  <c r="Y19" i="6" s="1"/>
  <c r="AA19" i="6" s="1"/>
  <c r="AC19" i="6" s="1"/>
  <c r="AE19" i="6" s="1"/>
  <c r="AG19" i="6" s="1"/>
  <c r="C18" i="6"/>
  <c r="E18" i="6" s="1"/>
  <c r="G18" i="6" s="1"/>
  <c r="I18" i="6" s="1"/>
  <c r="K18" i="6" s="1"/>
  <c r="M18" i="6" s="1"/>
  <c r="O18" i="6" s="1"/>
  <c r="Q18" i="6" s="1"/>
  <c r="S18" i="6" s="1"/>
  <c r="U18" i="6" s="1"/>
  <c r="W18" i="6" s="1"/>
  <c r="Y18" i="6" s="1"/>
  <c r="AA18" i="6" s="1"/>
  <c r="AC18" i="6" s="1"/>
  <c r="AE18" i="6" s="1"/>
  <c r="AG18" i="6" s="1"/>
  <c r="S17" i="6"/>
  <c r="U17" i="6" s="1"/>
  <c r="W17" i="6" s="1"/>
  <c r="Y17" i="6" s="1"/>
  <c r="AA17" i="6" s="1"/>
  <c r="AC17" i="6" s="1"/>
  <c r="AE17" i="6" s="1"/>
  <c r="AG17" i="6" s="1"/>
  <c r="C17" i="6"/>
  <c r="E17" i="6" s="1"/>
  <c r="G17" i="6" s="1"/>
  <c r="I17" i="6" s="1"/>
  <c r="K17" i="6" s="1"/>
  <c r="M17" i="6" s="1"/>
  <c r="O17" i="6" s="1"/>
  <c r="Q17" i="6" s="1"/>
  <c r="C16" i="6"/>
  <c r="B12" i="6"/>
  <c r="I6" i="6"/>
  <c r="C3" i="6"/>
  <c r="I2" i="6"/>
  <c r="C1" i="6"/>
  <c r="A53" i="5"/>
  <c r="C39" i="5"/>
  <c r="E39" i="5" s="1"/>
  <c r="C30" i="5"/>
  <c r="E30" i="5" s="1"/>
  <c r="G30" i="5" s="1"/>
  <c r="I30" i="5" s="1"/>
  <c r="K30" i="5" s="1"/>
  <c r="M30" i="5" s="1"/>
  <c r="O30" i="5" s="1"/>
  <c r="Q30" i="5" s="1"/>
  <c r="S30" i="5" s="1"/>
  <c r="U30" i="5" s="1"/>
  <c r="W30" i="5" s="1"/>
  <c r="Y30" i="5" s="1"/>
  <c r="AA30" i="5" s="1"/>
  <c r="AC30" i="5" s="1"/>
  <c r="AE30" i="5" s="1"/>
  <c r="AG30" i="5" s="1"/>
  <c r="A30" i="5"/>
  <c r="Q29" i="5"/>
  <c r="S29" i="5" s="1"/>
  <c r="U29" i="5" s="1"/>
  <c r="W29" i="5" s="1"/>
  <c r="Y29" i="5" s="1"/>
  <c r="AA29" i="5" s="1"/>
  <c r="AC29" i="5" s="1"/>
  <c r="AE29" i="5" s="1"/>
  <c r="AG29" i="5" s="1"/>
  <c r="E29" i="5"/>
  <c r="G29" i="5" s="1"/>
  <c r="I29" i="5" s="1"/>
  <c r="K29" i="5" s="1"/>
  <c r="M29" i="5" s="1"/>
  <c r="O29" i="5" s="1"/>
  <c r="C29" i="5"/>
  <c r="A29" i="5"/>
  <c r="S28" i="5"/>
  <c r="U28" i="5" s="1"/>
  <c r="W28" i="5" s="1"/>
  <c r="Y28" i="5" s="1"/>
  <c r="AA28" i="5" s="1"/>
  <c r="AC28" i="5" s="1"/>
  <c r="AE28" i="5" s="1"/>
  <c r="AG28" i="5" s="1"/>
  <c r="C28" i="5"/>
  <c r="E28" i="5" s="1"/>
  <c r="G28" i="5" s="1"/>
  <c r="I28" i="5" s="1"/>
  <c r="K28" i="5" s="1"/>
  <c r="M28" i="5" s="1"/>
  <c r="O28" i="5" s="1"/>
  <c r="Q28" i="5" s="1"/>
  <c r="A28" i="5"/>
  <c r="AC27" i="5"/>
  <c r="AE27" i="5" s="1"/>
  <c r="AG27" i="5" s="1"/>
  <c r="M27" i="5"/>
  <c r="O27" i="5" s="1"/>
  <c r="Q27" i="5" s="1"/>
  <c r="S27" i="5" s="1"/>
  <c r="U27" i="5" s="1"/>
  <c r="W27" i="5" s="1"/>
  <c r="Y27" i="5" s="1"/>
  <c r="AA27" i="5" s="1"/>
  <c r="E27" i="5"/>
  <c r="G27" i="5" s="1"/>
  <c r="I27" i="5" s="1"/>
  <c r="K27" i="5" s="1"/>
  <c r="C27" i="5"/>
  <c r="A27" i="5"/>
  <c r="G26" i="5"/>
  <c r="I26" i="5" s="1"/>
  <c r="K26" i="5" s="1"/>
  <c r="M26" i="5" s="1"/>
  <c r="O26" i="5" s="1"/>
  <c r="Q26" i="5" s="1"/>
  <c r="S26" i="5" s="1"/>
  <c r="U26" i="5" s="1"/>
  <c r="W26" i="5" s="1"/>
  <c r="Y26" i="5" s="1"/>
  <c r="AA26" i="5" s="1"/>
  <c r="AC26" i="5" s="1"/>
  <c r="AE26" i="5" s="1"/>
  <c r="AG26" i="5" s="1"/>
  <c r="C26" i="5"/>
  <c r="E26" i="5" s="1"/>
  <c r="A26" i="5"/>
  <c r="C25" i="5"/>
  <c r="E25" i="5" s="1"/>
  <c r="G25" i="5" s="1"/>
  <c r="I25" i="5" s="1"/>
  <c r="K25" i="5" s="1"/>
  <c r="M25" i="5" s="1"/>
  <c r="O25" i="5" s="1"/>
  <c r="Q25" i="5" s="1"/>
  <c r="S25" i="5" s="1"/>
  <c r="U25" i="5" s="1"/>
  <c r="W25" i="5" s="1"/>
  <c r="Y25" i="5" s="1"/>
  <c r="AA25" i="5" s="1"/>
  <c r="AC25" i="5" s="1"/>
  <c r="AE25" i="5" s="1"/>
  <c r="AG25" i="5" s="1"/>
  <c r="A25" i="5"/>
  <c r="C24" i="5"/>
  <c r="E24" i="5" s="1"/>
  <c r="G24" i="5" s="1"/>
  <c r="I24" i="5" s="1"/>
  <c r="K24" i="5" s="1"/>
  <c r="M24" i="5" s="1"/>
  <c r="O24" i="5" s="1"/>
  <c r="Q24" i="5" s="1"/>
  <c r="S24" i="5" s="1"/>
  <c r="U24" i="5" s="1"/>
  <c r="W24" i="5" s="1"/>
  <c r="Y24" i="5" s="1"/>
  <c r="AA24" i="5" s="1"/>
  <c r="AC24" i="5" s="1"/>
  <c r="AE24" i="5" s="1"/>
  <c r="AG24" i="5" s="1"/>
  <c r="S23" i="5"/>
  <c r="U23" i="5" s="1"/>
  <c r="W23" i="5" s="1"/>
  <c r="Y23" i="5" s="1"/>
  <c r="AA23" i="5" s="1"/>
  <c r="AC23" i="5" s="1"/>
  <c r="AE23" i="5" s="1"/>
  <c r="AG23" i="5" s="1"/>
  <c r="C23" i="5"/>
  <c r="E23" i="5" s="1"/>
  <c r="G23" i="5" s="1"/>
  <c r="I23" i="5" s="1"/>
  <c r="K23" i="5" s="1"/>
  <c r="M23" i="5" s="1"/>
  <c r="O23" i="5" s="1"/>
  <c r="Q23" i="5" s="1"/>
  <c r="K22" i="5"/>
  <c r="M22" i="5" s="1"/>
  <c r="O22" i="5" s="1"/>
  <c r="Q22" i="5" s="1"/>
  <c r="S22" i="5" s="1"/>
  <c r="U22" i="5" s="1"/>
  <c r="W22" i="5" s="1"/>
  <c r="Y22" i="5" s="1"/>
  <c r="AA22" i="5" s="1"/>
  <c r="AC22" i="5" s="1"/>
  <c r="AE22" i="5" s="1"/>
  <c r="AG22" i="5" s="1"/>
  <c r="C22" i="5"/>
  <c r="E22" i="5" s="1"/>
  <c r="G22" i="5" s="1"/>
  <c r="I22" i="5" s="1"/>
  <c r="C21" i="5"/>
  <c r="E21" i="5" s="1"/>
  <c r="G21" i="5" s="1"/>
  <c r="I21" i="5" s="1"/>
  <c r="K21" i="5" s="1"/>
  <c r="M21" i="5" s="1"/>
  <c r="O21" i="5" s="1"/>
  <c r="Q21" i="5" s="1"/>
  <c r="S21" i="5" s="1"/>
  <c r="U21" i="5" s="1"/>
  <c r="W21" i="5" s="1"/>
  <c r="Y21" i="5" s="1"/>
  <c r="AA21" i="5" s="1"/>
  <c r="AC21" i="5" s="1"/>
  <c r="AE21" i="5" s="1"/>
  <c r="AG21" i="5" s="1"/>
  <c r="C20" i="5"/>
  <c r="E20" i="5" s="1"/>
  <c r="G20" i="5" s="1"/>
  <c r="I20" i="5" s="1"/>
  <c r="K20" i="5" s="1"/>
  <c r="M20" i="5" s="1"/>
  <c r="O20" i="5" s="1"/>
  <c r="Q20" i="5" s="1"/>
  <c r="S20" i="5" s="1"/>
  <c r="U20" i="5" s="1"/>
  <c r="W20" i="5" s="1"/>
  <c r="Y20" i="5" s="1"/>
  <c r="AA20" i="5" s="1"/>
  <c r="AC20" i="5" s="1"/>
  <c r="AE20" i="5" s="1"/>
  <c r="AG20" i="5" s="1"/>
  <c r="G19" i="5"/>
  <c r="I19" i="5" s="1"/>
  <c r="K19" i="5" s="1"/>
  <c r="M19" i="5" s="1"/>
  <c r="O19" i="5" s="1"/>
  <c r="Q19" i="5" s="1"/>
  <c r="S19" i="5" s="1"/>
  <c r="U19" i="5" s="1"/>
  <c r="W19" i="5" s="1"/>
  <c r="Y19" i="5" s="1"/>
  <c r="AA19" i="5" s="1"/>
  <c r="AC19" i="5" s="1"/>
  <c r="AE19" i="5" s="1"/>
  <c r="AG19" i="5" s="1"/>
  <c r="C19" i="5"/>
  <c r="E19" i="5" s="1"/>
  <c r="C18" i="5"/>
  <c r="E18" i="5" s="1"/>
  <c r="G18" i="5" s="1"/>
  <c r="I18" i="5" s="1"/>
  <c r="K18" i="5" s="1"/>
  <c r="M18" i="5" s="1"/>
  <c r="O18" i="5" s="1"/>
  <c r="Q18" i="5" s="1"/>
  <c r="S18" i="5" s="1"/>
  <c r="U18" i="5" s="1"/>
  <c r="W18" i="5" s="1"/>
  <c r="Y18" i="5" s="1"/>
  <c r="AA18" i="5" s="1"/>
  <c r="AC18" i="5" s="1"/>
  <c r="AE18" i="5" s="1"/>
  <c r="AG18" i="5" s="1"/>
  <c r="O17" i="5"/>
  <c r="Q17" i="5" s="1"/>
  <c r="S17" i="5" s="1"/>
  <c r="U17" i="5" s="1"/>
  <c r="W17" i="5" s="1"/>
  <c r="Y17" i="5" s="1"/>
  <c r="AA17" i="5" s="1"/>
  <c r="AC17" i="5" s="1"/>
  <c r="AE17" i="5" s="1"/>
  <c r="AG17" i="5" s="1"/>
  <c r="C17" i="5"/>
  <c r="E17" i="5" s="1"/>
  <c r="G17" i="5" s="1"/>
  <c r="I17" i="5" s="1"/>
  <c r="K17" i="5" s="1"/>
  <c r="M17" i="5" s="1"/>
  <c r="C16" i="5"/>
  <c r="E16" i="5" s="1"/>
  <c r="B12" i="5"/>
  <c r="I6" i="5"/>
  <c r="C3" i="5"/>
  <c r="I2" i="5"/>
  <c r="C1" i="5"/>
  <c r="A53" i="4"/>
  <c r="C39" i="4"/>
  <c r="E39" i="4" s="1"/>
  <c r="O30" i="4"/>
  <c r="Q30" i="4" s="1"/>
  <c r="S30" i="4" s="1"/>
  <c r="U30" i="4" s="1"/>
  <c r="W30" i="4" s="1"/>
  <c r="Y30" i="4" s="1"/>
  <c r="AA30" i="4" s="1"/>
  <c r="AC30" i="4" s="1"/>
  <c r="AE30" i="4" s="1"/>
  <c r="AG30" i="4" s="1"/>
  <c r="E30" i="4"/>
  <c r="G30" i="4" s="1"/>
  <c r="I30" i="4" s="1"/>
  <c r="K30" i="4" s="1"/>
  <c r="M30" i="4" s="1"/>
  <c r="C30" i="4"/>
  <c r="A30" i="4"/>
  <c r="AE29" i="4"/>
  <c r="AG29" i="4" s="1"/>
  <c r="S29" i="4"/>
  <c r="U29" i="4" s="1"/>
  <c r="W29" i="4" s="1"/>
  <c r="Y29" i="4" s="1"/>
  <c r="AA29" i="4" s="1"/>
  <c r="AC29" i="4" s="1"/>
  <c r="I29" i="4"/>
  <c r="K29" i="4" s="1"/>
  <c r="M29" i="4" s="1"/>
  <c r="O29" i="4" s="1"/>
  <c r="Q29" i="4" s="1"/>
  <c r="C29" i="4"/>
  <c r="E29" i="4" s="1"/>
  <c r="G29" i="4" s="1"/>
  <c r="A29" i="4"/>
  <c r="C28" i="4"/>
  <c r="E28" i="4" s="1"/>
  <c r="G28" i="4" s="1"/>
  <c r="I28" i="4" s="1"/>
  <c r="K28" i="4" s="1"/>
  <c r="M28" i="4" s="1"/>
  <c r="O28" i="4" s="1"/>
  <c r="Q28" i="4" s="1"/>
  <c r="S28" i="4" s="1"/>
  <c r="U28" i="4" s="1"/>
  <c r="W28" i="4" s="1"/>
  <c r="Y28" i="4" s="1"/>
  <c r="AA28" i="4" s="1"/>
  <c r="AC28" i="4" s="1"/>
  <c r="AE28" i="4" s="1"/>
  <c r="AG28" i="4" s="1"/>
  <c r="A28" i="4"/>
  <c r="C27" i="4"/>
  <c r="E27" i="4" s="1"/>
  <c r="G27" i="4" s="1"/>
  <c r="I27" i="4" s="1"/>
  <c r="K27" i="4" s="1"/>
  <c r="M27" i="4" s="1"/>
  <c r="O27" i="4" s="1"/>
  <c r="Q27" i="4" s="1"/>
  <c r="S27" i="4" s="1"/>
  <c r="U27" i="4" s="1"/>
  <c r="W27" i="4" s="1"/>
  <c r="Y27" i="4" s="1"/>
  <c r="AA27" i="4" s="1"/>
  <c r="AC27" i="4" s="1"/>
  <c r="AE27" i="4" s="1"/>
  <c r="AG27" i="4" s="1"/>
  <c r="A27" i="4"/>
  <c r="G26" i="4"/>
  <c r="I26" i="4" s="1"/>
  <c r="K26" i="4" s="1"/>
  <c r="M26" i="4" s="1"/>
  <c r="O26" i="4" s="1"/>
  <c r="Q26" i="4" s="1"/>
  <c r="S26" i="4" s="1"/>
  <c r="U26" i="4" s="1"/>
  <c r="W26" i="4" s="1"/>
  <c r="Y26" i="4" s="1"/>
  <c r="AA26" i="4" s="1"/>
  <c r="AC26" i="4" s="1"/>
  <c r="AE26" i="4" s="1"/>
  <c r="AG26" i="4" s="1"/>
  <c r="E26" i="4"/>
  <c r="C26" i="4"/>
  <c r="A26" i="4"/>
  <c r="C25" i="4"/>
  <c r="E25" i="4" s="1"/>
  <c r="G25" i="4" s="1"/>
  <c r="I25" i="4" s="1"/>
  <c r="K25" i="4" s="1"/>
  <c r="M25" i="4" s="1"/>
  <c r="O25" i="4" s="1"/>
  <c r="Q25" i="4" s="1"/>
  <c r="S25" i="4" s="1"/>
  <c r="U25" i="4" s="1"/>
  <c r="W25" i="4" s="1"/>
  <c r="Y25" i="4" s="1"/>
  <c r="AA25" i="4" s="1"/>
  <c r="AC25" i="4" s="1"/>
  <c r="AE25" i="4" s="1"/>
  <c r="AG25" i="4" s="1"/>
  <c r="A25" i="4"/>
  <c r="Y24" i="4"/>
  <c r="AA24" i="4" s="1"/>
  <c r="AC24" i="4" s="1"/>
  <c r="AE24" i="4" s="1"/>
  <c r="AG24" i="4" s="1"/>
  <c r="M24" i="4"/>
  <c r="O24" i="4" s="1"/>
  <c r="Q24" i="4" s="1"/>
  <c r="S24" i="4" s="1"/>
  <c r="U24" i="4" s="1"/>
  <c r="W24" i="4" s="1"/>
  <c r="C24" i="4"/>
  <c r="E24" i="4" s="1"/>
  <c r="G24" i="4" s="1"/>
  <c r="I24" i="4" s="1"/>
  <c r="K24" i="4" s="1"/>
  <c r="Y23" i="4"/>
  <c r="AA23" i="4" s="1"/>
  <c r="AC23" i="4" s="1"/>
  <c r="AE23" i="4" s="1"/>
  <c r="AG23" i="4" s="1"/>
  <c r="M23" i="4"/>
  <c r="O23" i="4" s="1"/>
  <c r="Q23" i="4" s="1"/>
  <c r="S23" i="4" s="1"/>
  <c r="U23" i="4" s="1"/>
  <c r="W23" i="4" s="1"/>
  <c r="C23" i="4"/>
  <c r="E23" i="4" s="1"/>
  <c r="G23" i="4" s="1"/>
  <c r="I23" i="4" s="1"/>
  <c r="K23" i="4" s="1"/>
  <c r="M22" i="4"/>
  <c r="O22" i="4" s="1"/>
  <c r="Q22" i="4" s="1"/>
  <c r="S22" i="4" s="1"/>
  <c r="U22" i="4" s="1"/>
  <c r="W22" i="4" s="1"/>
  <c r="Y22" i="4" s="1"/>
  <c r="AA22" i="4" s="1"/>
  <c r="AC22" i="4" s="1"/>
  <c r="AE22" i="4" s="1"/>
  <c r="AG22" i="4" s="1"/>
  <c r="C22" i="4"/>
  <c r="E22" i="4" s="1"/>
  <c r="G22" i="4" s="1"/>
  <c r="I22" i="4" s="1"/>
  <c r="K22" i="4" s="1"/>
  <c r="C21" i="4"/>
  <c r="E21" i="4" s="1"/>
  <c r="G21" i="4" s="1"/>
  <c r="I21" i="4" s="1"/>
  <c r="K21" i="4" s="1"/>
  <c r="M21" i="4" s="1"/>
  <c r="O21" i="4" s="1"/>
  <c r="Q21" i="4" s="1"/>
  <c r="S21" i="4" s="1"/>
  <c r="U21" i="4" s="1"/>
  <c r="W21" i="4" s="1"/>
  <c r="Y21" i="4" s="1"/>
  <c r="AA21" i="4" s="1"/>
  <c r="AC21" i="4" s="1"/>
  <c r="AE21" i="4" s="1"/>
  <c r="AG21" i="4" s="1"/>
  <c r="Y20" i="4"/>
  <c r="AA20" i="4" s="1"/>
  <c r="AC20" i="4" s="1"/>
  <c r="AE20" i="4" s="1"/>
  <c r="AG20" i="4" s="1"/>
  <c r="M20" i="4"/>
  <c r="O20" i="4" s="1"/>
  <c r="Q20" i="4" s="1"/>
  <c r="S20" i="4" s="1"/>
  <c r="U20" i="4" s="1"/>
  <c r="W20" i="4" s="1"/>
  <c r="C20" i="4"/>
  <c r="E20" i="4" s="1"/>
  <c r="G20" i="4" s="1"/>
  <c r="I20" i="4" s="1"/>
  <c r="K20" i="4" s="1"/>
  <c r="C19" i="4"/>
  <c r="E19" i="4" s="1"/>
  <c r="G19" i="4" s="1"/>
  <c r="I19" i="4" s="1"/>
  <c r="K19" i="4" s="1"/>
  <c r="M19" i="4" s="1"/>
  <c r="O19" i="4" s="1"/>
  <c r="Q19" i="4" s="1"/>
  <c r="S19" i="4" s="1"/>
  <c r="U19" i="4" s="1"/>
  <c r="W19" i="4" s="1"/>
  <c r="Y19" i="4" s="1"/>
  <c r="AA19" i="4" s="1"/>
  <c r="AC19" i="4" s="1"/>
  <c r="AE19" i="4" s="1"/>
  <c r="AG19" i="4" s="1"/>
  <c r="M18" i="4"/>
  <c r="O18" i="4" s="1"/>
  <c r="Q18" i="4" s="1"/>
  <c r="S18" i="4" s="1"/>
  <c r="U18" i="4" s="1"/>
  <c r="W18" i="4" s="1"/>
  <c r="Y18" i="4" s="1"/>
  <c r="AA18" i="4" s="1"/>
  <c r="AC18" i="4" s="1"/>
  <c r="AE18" i="4" s="1"/>
  <c r="AG18" i="4" s="1"/>
  <c r="C18" i="4"/>
  <c r="E18" i="4" s="1"/>
  <c r="G18" i="4" s="1"/>
  <c r="I18" i="4" s="1"/>
  <c r="K18" i="4" s="1"/>
  <c r="C17" i="4"/>
  <c r="E17" i="4" s="1"/>
  <c r="G17" i="4" s="1"/>
  <c r="I17" i="4" s="1"/>
  <c r="K17" i="4" s="1"/>
  <c r="M17" i="4" s="1"/>
  <c r="O17" i="4" s="1"/>
  <c r="Q17" i="4" s="1"/>
  <c r="S17" i="4" s="1"/>
  <c r="U17" i="4" s="1"/>
  <c r="W17" i="4" s="1"/>
  <c r="Y17" i="4" s="1"/>
  <c r="AA17" i="4" s="1"/>
  <c r="AC17" i="4" s="1"/>
  <c r="AE17" i="4" s="1"/>
  <c r="AG17" i="4" s="1"/>
  <c r="C16" i="4"/>
  <c r="B12" i="4"/>
  <c r="I6" i="4"/>
  <c r="C3" i="4"/>
  <c r="I2" i="4"/>
  <c r="C1" i="4"/>
  <c r="A52" i="3"/>
  <c r="G41" i="3"/>
  <c r="E36" i="3"/>
  <c r="C36" i="3"/>
  <c r="A36" i="3"/>
  <c r="E35" i="3"/>
  <c r="C35" i="3"/>
  <c r="A35" i="3"/>
  <c r="E34" i="3"/>
  <c r="C34" i="3"/>
  <c r="A34" i="3"/>
  <c r="E33" i="3"/>
  <c r="C33" i="3"/>
  <c r="A33" i="3"/>
  <c r="E32" i="3"/>
  <c r="C32" i="3"/>
  <c r="A32" i="3"/>
  <c r="E31" i="3"/>
  <c r="C31" i="3"/>
  <c r="A31" i="3"/>
  <c r="E30" i="3"/>
  <c r="C30" i="3"/>
  <c r="E29" i="3"/>
  <c r="C29" i="3"/>
  <c r="E28" i="3"/>
  <c r="C28" i="3"/>
  <c r="E27" i="3"/>
  <c r="C27" i="3"/>
  <c r="E26" i="3"/>
  <c r="C26" i="3"/>
  <c r="E25" i="3"/>
  <c r="C25" i="3"/>
  <c r="E24" i="3"/>
  <c r="C24" i="3"/>
  <c r="E23" i="3"/>
  <c r="C23" i="3"/>
  <c r="E22" i="3"/>
  <c r="C22" i="3"/>
  <c r="B18" i="3"/>
  <c r="E17" i="3"/>
  <c r="G49" i="3" s="1"/>
  <c r="C10" i="3"/>
  <c r="C6" i="3"/>
  <c r="G47" i="3" s="1"/>
  <c r="C3" i="3"/>
  <c r="C1" i="3"/>
  <c r="C1" i="7" s="1"/>
  <c r="C38" i="1"/>
  <c r="B33" i="1"/>
  <c r="C17" i="3" s="1"/>
  <c r="C18" i="3" s="1"/>
  <c r="C32" i="1"/>
  <c r="C31" i="1"/>
  <c r="C30" i="1"/>
  <c r="B18" i="1"/>
  <c r="C8" i="3" s="1"/>
  <c r="B17" i="1"/>
  <c r="I5" i="4" s="1"/>
  <c r="C12" i="1"/>
  <c r="E49" i="3" l="1"/>
  <c r="I49" i="3" s="1"/>
  <c r="C49" i="3" s="1"/>
  <c r="I5" i="5"/>
  <c r="B19" i="1"/>
  <c r="E41" i="3" s="1"/>
  <c r="C19" i="3"/>
  <c r="E31" i="5"/>
  <c r="G16" i="5"/>
  <c r="C37" i="3"/>
  <c r="C37" i="7" s="1"/>
  <c r="E37" i="7" s="1"/>
  <c r="G37" i="7" s="1"/>
  <c r="C41" i="3"/>
  <c r="C31" i="4"/>
  <c r="E16" i="4"/>
  <c r="G39" i="5"/>
  <c r="I9" i="7"/>
  <c r="G9" i="7"/>
  <c r="C9" i="7"/>
  <c r="I4" i="6"/>
  <c r="I4" i="5"/>
  <c r="I4" i="4"/>
  <c r="C40" i="4"/>
  <c r="C11" i="7"/>
  <c r="G11" i="7"/>
  <c r="I5" i="6"/>
  <c r="I11" i="7"/>
  <c r="B20" i="1"/>
  <c r="B22" i="1" s="1"/>
  <c r="G39" i="4"/>
  <c r="C9" i="3"/>
  <c r="C17" i="7"/>
  <c r="C11" i="5"/>
  <c r="C11" i="6"/>
  <c r="C11" i="4"/>
  <c r="C31" i="5"/>
  <c r="E16" i="6"/>
  <c r="C31" i="6"/>
  <c r="I39" i="6"/>
  <c r="I37" i="7"/>
  <c r="E8" i="7"/>
  <c r="K22" i="7"/>
  <c r="K37" i="7" s="1"/>
  <c r="C35" i="6" l="1"/>
  <c r="G8" i="7"/>
  <c r="I3" i="4"/>
  <c r="I3" i="5"/>
  <c r="I8" i="7"/>
  <c r="C40" i="5"/>
  <c r="E35" i="5" s="1"/>
  <c r="C7" i="3"/>
  <c r="C17" i="1"/>
  <c r="I3" i="6"/>
  <c r="C8" i="7"/>
  <c r="C15" i="1"/>
  <c r="E11" i="4"/>
  <c r="C12" i="4"/>
  <c r="C13" i="4" s="1"/>
  <c r="C33" i="4" s="1"/>
  <c r="I39" i="5"/>
  <c r="C41" i="7"/>
  <c r="G41" i="7" s="1"/>
  <c r="I41" i="7" s="1"/>
  <c r="I41" i="3"/>
  <c r="C39" i="3"/>
  <c r="G16" i="6"/>
  <c r="E31" i="6"/>
  <c r="E40" i="5"/>
  <c r="E11" i="7"/>
  <c r="K8" i="7"/>
  <c r="E41" i="7"/>
  <c r="K41" i="7" s="1"/>
  <c r="C12" i="6"/>
  <c r="C13" i="6" s="1"/>
  <c r="C33" i="6" s="1"/>
  <c r="C37" i="6" s="1"/>
  <c r="C40" i="6" s="1"/>
  <c r="E11" i="6"/>
  <c r="I39" i="4"/>
  <c r="K39" i="6"/>
  <c r="E11" i="5"/>
  <c r="C12" i="5"/>
  <c r="C13" i="5" s="1"/>
  <c r="C33" i="5" s="1"/>
  <c r="I13" i="7"/>
  <c r="G13" i="7"/>
  <c r="C13" i="7"/>
  <c r="I7" i="6"/>
  <c r="I7" i="4"/>
  <c r="I7" i="5"/>
  <c r="C11" i="3"/>
  <c r="G45" i="3" s="1"/>
  <c r="C35" i="4"/>
  <c r="E40" i="4"/>
  <c r="C41" i="4"/>
  <c r="E35" i="4"/>
  <c r="G17" i="7"/>
  <c r="C18" i="7"/>
  <c r="C19" i="7" s="1"/>
  <c r="E19" i="7" s="1"/>
  <c r="E17" i="7"/>
  <c r="I17" i="7"/>
  <c r="G16" i="4"/>
  <c r="E31" i="4"/>
  <c r="I16" i="5"/>
  <c r="G31" i="5"/>
  <c r="C41" i="5" l="1"/>
  <c r="C35" i="5"/>
  <c r="C37" i="5"/>
  <c r="C46" i="5" s="1"/>
  <c r="C47" i="5" s="1"/>
  <c r="I16" i="4"/>
  <c r="G31" i="4"/>
  <c r="AC43" i="4"/>
  <c r="U43" i="4"/>
  <c r="M43" i="4"/>
  <c r="E43" i="4"/>
  <c r="AG43" i="4"/>
  <c r="W43" i="4"/>
  <c r="K43" i="4"/>
  <c r="B56" i="4"/>
  <c r="AE43" i="4"/>
  <c r="S43" i="4"/>
  <c r="I43" i="4"/>
  <c r="AA43" i="4"/>
  <c r="Q43" i="4"/>
  <c r="G43" i="4"/>
  <c r="C43" i="4"/>
  <c r="Y43" i="4"/>
  <c r="O43" i="4"/>
  <c r="M39" i="6"/>
  <c r="C46" i="6"/>
  <c r="C47" i="6" s="1"/>
  <c r="E35" i="6"/>
  <c r="C41" i="6"/>
  <c r="C42" i="6" s="1"/>
  <c r="C39" i="7"/>
  <c r="E39" i="7" s="1"/>
  <c r="E47" i="3"/>
  <c r="C47" i="3"/>
  <c r="C43" i="3"/>
  <c r="K39" i="5"/>
  <c r="AG43" i="6"/>
  <c r="Y43" i="6"/>
  <c r="Q43" i="6"/>
  <c r="I43" i="6"/>
  <c r="AE43" i="6"/>
  <c r="W43" i="6"/>
  <c r="O43" i="6"/>
  <c r="G43" i="6"/>
  <c r="AA43" i="6"/>
  <c r="S43" i="6"/>
  <c r="K43" i="6"/>
  <c r="C43" i="6"/>
  <c r="U43" i="6"/>
  <c r="AC43" i="6"/>
  <c r="M43" i="6"/>
  <c r="E43" i="6"/>
  <c r="E12" i="6"/>
  <c r="E13" i="6" s="1"/>
  <c r="E33" i="6" s="1"/>
  <c r="G11" i="6"/>
  <c r="G35" i="5"/>
  <c r="G40" i="5"/>
  <c r="E41" i="5"/>
  <c r="G18" i="7"/>
  <c r="K18" i="7" s="1"/>
  <c r="K17" i="7"/>
  <c r="K11" i="7"/>
  <c r="E13" i="7"/>
  <c r="K13" i="7" s="1"/>
  <c r="C37" i="4"/>
  <c r="G40" i="4"/>
  <c r="G35" i="4"/>
  <c r="E41" i="4"/>
  <c r="I31" i="5"/>
  <c r="K16" i="5"/>
  <c r="E18" i="7"/>
  <c r="I18" i="7"/>
  <c r="I19" i="7" s="1"/>
  <c r="I39" i="7" s="1"/>
  <c r="AC43" i="5"/>
  <c r="U43" i="5"/>
  <c r="M43" i="5"/>
  <c r="E43" i="5"/>
  <c r="AA43" i="5"/>
  <c r="S43" i="5"/>
  <c r="K43" i="5"/>
  <c r="C43" i="5"/>
  <c r="AG43" i="5"/>
  <c r="Y43" i="5"/>
  <c r="Q43" i="5"/>
  <c r="I43" i="5"/>
  <c r="AE43" i="5"/>
  <c r="W43" i="5"/>
  <c r="O43" i="5"/>
  <c r="G43" i="5"/>
  <c r="G11" i="5"/>
  <c r="E12" i="5"/>
  <c r="E13" i="5" s="1"/>
  <c r="E33" i="5" s="1"/>
  <c r="E37" i="5" s="1"/>
  <c r="K39" i="4"/>
  <c r="G31" i="6"/>
  <c r="I16" i="6"/>
  <c r="E12" i="4"/>
  <c r="E13" i="4" s="1"/>
  <c r="E33" i="4" s="1"/>
  <c r="E37" i="4" s="1"/>
  <c r="G11" i="4"/>
  <c r="C42" i="5" l="1"/>
  <c r="C44" i="5"/>
  <c r="E46" i="5"/>
  <c r="E47" i="5" s="1"/>
  <c r="C49" i="4"/>
  <c r="C50" i="4" s="1"/>
  <c r="G19" i="7"/>
  <c r="G39" i="7" s="1"/>
  <c r="G47" i="7" s="1"/>
  <c r="E37" i="6"/>
  <c r="E40" i="6" s="1"/>
  <c r="E41" i="6" s="1"/>
  <c r="C49" i="5"/>
  <c r="C50" i="5" s="1"/>
  <c r="C44" i="4"/>
  <c r="E56" i="4"/>
  <c r="I31" i="6"/>
  <c r="K16" i="6"/>
  <c r="G12" i="5"/>
  <c r="G13" i="5" s="1"/>
  <c r="G33" i="5" s="1"/>
  <c r="G37" i="5" s="1"/>
  <c r="I11" i="5"/>
  <c r="C56" i="4"/>
  <c r="C46" i="4"/>
  <c r="C47" i="4" s="1"/>
  <c r="C47" i="7"/>
  <c r="I47" i="3"/>
  <c r="E44" i="4"/>
  <c r="E42" i="4"/>
  <c r="E49" i="4"/>
  <c r="E50" i="4" s="1"/>
  <c r="K58" i="4"/>
  <c r="M39" i="4"/>
  <c r="C42" i="4"/>
  <c r="E49" i="5"/>
  <c r="E50" i="5" s="1"/>
  <c r="E44" i="5"/>
  <c r="E42" i="5"/>
  <c r="M39" i="5"/>
  <c r="E47" i="7"/>
  <c r="E43" i="7"/>
  <c r="E45" i="7" s="1"/>
  <c r="K31" i="5"/>
  <c r="M16" i="5"/>
  <c r="I40" i="4"/>
  <c r="I35" i="4"/>
  <c r="G41" i="4"/>
  <c r="K19" i="7"/>
  <c r="K39" i="7" s="1"/>
  <c r="I40" i="5"/>
  <c r="I35" i="5"/>
  <c r="G41" i="5"/>
  <c r="C43" i="7"/>
  <c r="E45" i="3"/>
  <c r="C45" i="3"/>
  <c r="C49" i="6"/>
  <c r="C50" i="6" s="1"/>
  <c r="C44" i="6"/>
  <c r="I43" i="7"/>
  <c r="I45" i="7" s="1"/>
  <c r="I47" i="7"/>
  <c r="G12" i="4"/>
  <c r="G13" i="4" s="1"/>
  <c r="G33" i="4" s="1"/>
  <c r="G37" i="4" s="1"/>
  <c r="I11" i="4"/>
  <c r="G12" i="6"/>
  <c r="G13" i="6" s="1"/>
  <c r="G33" i="6" s="1"/>
  <c r="I11" i="6"/>
  <c r="O39" i="6"/>
  <c r="K16" i="4"/>
  <c r="I31" i="4"/>
  <c r="G43" i="7" l="1"/>
  <c r="G45" i="7" s="1"/>
  <c r="G46" i="5"/>
  <c r="G47" i="5" s="1"/>
  <c r="G35" i="6"/>
  <c r="G37" i="6" s="1"/>
  <c r="G40" i="6" s="1"/>
  <c r="G41" i="6" s="1"/>
  <c r="E46" i="6"/>
  <c r="E47" i="6" s="1"/>
  <c r="G56" i="4"/>
  <c r="G49" i="5"/>
  <c r="G50" i="5" s="1"/>
  <c r="G44" i="5"/>
  <c r="G42" i="5"/>
  <c r="C45" i="7"/>
  <c r="I45" i="3"/>
  <c r="O39" i="4"/>
  <c r="E44" i="6"/>
  <c r="K40" i="4"/>
  <c r="K35" i="4"/>
  <c r="I41" i="4"/>
  <c r="K60" i="4"/>
  <c r="K61" i="4" s="1"/>
  <c r="K31" i="6"/>
  <c r="M16" i="6"/>
  <c r="E42" i="6"/>
  <c r="E46" i="4"/>
  <c r="E47" i="4" s="1"/>
  <c r="I12" i="6"/>
  <c r="I13" i="6" s="1"/>
  <c r="I33" i="6" s="1"/>
  <c r="K11" i="6"/>
  <c r="G49" i="4"/>
  <c r="G50" i="4" s="1"/>
  <c r="G44" i="4"/>
  <c r="G42" i="4"/>
  <c r="O39" i="5"/>
  <c r="K31" i="4"/>
  <c r="M16" i="4"/>
  <c r="K40" i="5"/>
  <c r="K35" i="5"/>
  <c r="I41" i="5"/>
  <c r="Q39" i="6"/>
  <c r="I12" i="4"/>
  <c r="I13" i="4" s="1"/>
  <c r="I33" i="4" s="1"/>
  <c r="I37" i="4" s="1"/>
  <c r="K11" i="4"/>
  <c r="K47" i="7"/>
  <c r="K43" i="7"/>
  <c r="K45" i="7" s="1"/>
  <c r="M31" i="5"/>
  <c r="O16" i="5"/>
  <c r="I12" i="5"/>
  <c r="I13" i="5" s="1"/>
  <c r="I33" i="5" s="1"/>
  <c r="I37" i="5" s="1"/>
  <c r="K11" i="5"/>
  <c r="I46" i="5" l="1"/>
  <c r="I47" i="5" s="1"/>
  <c r="E49" i="6"/>
  <c r="E50" i="6" s="1"/>
  <c r="G46" i="6"/>
  <c r="G47" i="6" s="1"/>
  <c r="I35" i="6"/>
  <c r="I37" i="6" s="1"/>
  <c r="I40" i="6" s="1"/>
  <c r="K35" i="6" s="1"/>
  <c r="I56" i="4"/>
  <c r="K12" i="5"/>
  <c r="K13" i="5" s="1"/>
  <c r="K33" i="5" s="1"/>
  <c r="K37" i="5" s="1"/>
  <c r="K46" i="5" s="1"/>
  <c r="K47" i="5" s="1"/>
  <c r="M11" i="5"/>
  <c r="I44" i="5"/>
  <c r="I42" i="5"/>
  <c r="I49" i="5"/>
  <c r="I50" i="5" s="1"/>
  <c r="M35" i="4"/>
  <c r="M40" i="4"/>
  <c r="K41" i="4"/>
  <c r="M40" i="5"/>
  <c r="M35" i="5"/>
  <c r="K41" i="5"/>
  <c r="K12" i="6"/>
  <c r="K13" i="6" s="1"/>
  <c r="K33" i="6" s="1"/>
  <c r="M11" i="6"/>
  <c r="K59" i="4"/>
  <c r="K62" i="4" s="1"/>
  <c r="G46" i="4"/>
  <c r="G47" i="4" s="1"/>
  <c r="G44" i="6"/>
  <c r="Q16" i="5"/>
  <c r="O31" i="5"/>
  <c r="S39" i="6"/>
  <c r="O16" i="4"/>
  <c r="M31" i="4"/>
  <c r="M31" i="6"/>
  <c r="O16" i="6"/>
  <c r="I49" i="4"/>
  <c r="I50" i="4" s="1"/>
  <c r="I44" i="4"/>
  <c r="I42" i="4"/>
  <c r="Q39" i="4"/>
  <c r="K12" i="4"/>
  <c r="K13" i="4" s="1"/>
  <c r="K33" i="4" s="1"/>
  <c r="K37" i="4" s="1"/>
  <c r="M11" i="4"/>
  <c r="Q39" i="5"/>
  <c r="G42" i="6"/>
  <c r="G49" i="6" l="1"/>
  <c r="G50" i="6" s="1"/>
  <c r="I46" i="6"/>
  <c r="I47" i="6" s="1"/>
  <c r="I41" i="6"/>
  <c r="I42" i="6" s="1"/>
  <c r="K37" i="6"/>
  <c r="K40" i="6" s="1"/>
  <c r="K46" i="6" s="1"/>
  <c r="K47" i="6" s="1"/>
  <c r="K57" i="4"/>
  <c r="K56" i="4" s="1"/>
  <c r="M56" i="4" s="1"/>
  <c r="C51" i="3" s="1"/>
  <c r="K44" i="5"/>
  <c r="K42" i="5"/>
  <c r="K49" i="5"/>
  <c r="K50" i="5" s="1"/>
  <c r="O40" i="4"/>
  <c r="O35" i="4"/>
  <c r="M41" i="4"/>
  <c r="M12" i="4"/>
  <c r="M13" i="4" s="1"/>
  <c r="M33" i="4" s="1"/>
  <c r="M37" i="4" s="1"/>
  <c r="O11" i="4"/>
  <c r="Q16" i="4"/>
  <c r="O31" i="4"/>
  <c r="Q31" i="5"/>
  <c r="S16" i="5"/>
  <c r="O11" i="5"/>
  <c r="M12" i="5"/>
  <c r="M13" i="5" s="1"/>
  <c r="M33" i="5" s="1"/>
  <c r="M37" i="5" s="1"/>
  <c r="M46" i="5" s="1"/>
  <c r="M47" i="5" s="1"/>
  <c r="I46" i="4"/>
  <c r="I47" i="4" s="1"/>
  <c r="S39" i="4"/>
  <c r="O40" i="5"/>
  <c r="O35" i="5"/>
  <c r="M41" i="5"/>
  <c r="S39" i="5"/>
  <c r="O31" i="6"/>
  <c r="Q16" i="6"/>
  <c r="U39" i="6"/>
  <c r="M12" i="6"/>
  <c r="M13" i="6" s="1"/>
  <c r="M33" i="6" s="1"/>
  <c r="O11" i="6"/>
  <c r="K44" i="4"/>
  <c r="K42" i="4"/>
  <c r="K49" i="4"/>
  <c r="K50" i="4" s="1"/>
  <c r="I44" i="6" l="1"/>
  <c r="M35" i="6"/>
  <c r="M37" i="6" s="1"/>
  <c r="M40" i="6" s="1"/>
  <c r="I49" i="6"/>
  <c r="I50" i="6" s="1"/>
  <c r="K41" i="6"/>
  <c r="K49" i="6" s="1"/>
  <c r="K50" i="6" s="1"/>
  <c r="O12" i="6"/>
  <c r="O13" i="6" s="1"/>
  <c r="O33" i="6" s="1"/>
  <c r="Q11" i="6"/>
  <c r="Q40" i="5"/>
  <c r="Q35" i="5"/>
  <c r="O41" i="5"/>
  <c r="S31" i="5"/>
  <c r="U16" i="5"/>
  <c r="O12" i="4"/>
  <c r="O13" i="4" s="1"/>
  <c r="O33" i="4" s="1"/>
  <c r="O37" i="4" s="1"/>
  <c r="Q11" i="4"/>
  <c r="Q31" i="6"/>
  <c r="S16" i="6"/>
  <c r="Q40" i="4"/>
  <c r="Q35" i="4"/>
  <c r="O41" i="4"/>
  <c r="M44" i="5"/>
  <c r="M42" i="5"/>
  <c r="M49" i="5"/>
  <c r="M50" i="5" s="1"/>
  <c r="U39" i="4"/>
  <c r="W39" i="6"/>
  <c r="Q11" i="5"/>
  <c r="O12" i="5"/>
  <c r="O13" i="5" s="1"/>
  <c r="O33" i="5" s="1"/>
  <c r="O37" i="5" s="1"/>
  <c r="O46" i="5" s="1"/>
  <c r="O47" i="5" s="1"/>
  <c r="S16" i="4"/>
  <c r="Q31" i="4"/>
  <c r="M44" i="4"/>
  <c r="M42" i="4"/>
  <c r="M49" i="4"/>
  <c r="M50" i="4" s="1"/>
  <c r="K46" i="4"/>
  <c r="K47" i="4" s="1"/>
  <c r="U39" i="5"/>
  <c r="M41" i="6" l="1"/>
  <c r="M46" i="6"/>
  <c r="M47" i="6" s="1"/>
  <c r="O35" i="6"/>
  <c r="O37" i="6" s="1"/>
  <c r="O40" i="6" s="1"/>
  <c r="K42" i="6"/>
  <c r="K44" i="6"/>
  <c r="S40" i="5"/>
  <c r="S35" i="5"/>
  <c r="Q41" i="5"/>
  <c r="W39" i="5"/>
  <c r="Q12" i="5"/>
  <c r="Q13" i="5" s="1"/>
  <c r="Q33" i="5" s="1"/>
  <c r="Q37" i="5" s="1"/>
  <c r="Q46" i="5" s="1"/>
  <c r="Q47" i="5" s="1"/>
  <c r="S11" i="5"/>
  <c r="S40" i="4"/>
  <c r="S35" i="4"/>
  <c r="Q41" i="4"/>
  <c r="Q12" i="4"/>
  <c r="Q13" i="4" s="1"/>
  <c r="Q33" i="4" s="1"/>
  <c r="Q37" i="4" s="1"/>
  <c r="S11" i="4"/>
  <c r="W39" i="4"/>
  <c r="M46" i="4"/>
  <c r="M47" i="4" s="1"/>
  <c r="O49" i="5"/>
  <c r="O50" i="5" s="1"/>
  <c r="O44" i="5"/>
  <c r="O42" i="5"/>
  <c r="Q12" i="6"/>
  <c r="Q13" i="6" s="1"/>
  <c r="Q33" i="6" s="1"/>
  <c r="S11" i="6"/>
  <c r="S31" i="4"/>
  <c r="U16" i="4"/>
  <c r="O49" i="4"/>
  <c r="O50" i="4" s="1"/>
  <c r="O44" i="4"/>
  <c r="O42" i="4"/>
  <c r="U16" i="6"/>
  <c r="S31" i="6"/>
  <c r="Y39" i="6"/>
  <c r="U31" i="5"/>
  <c r="W16" i="5"/>
  <c r="M49" i="6" l="1"/>
  <c r="M50" i="6" s="1"/>
  <c r="M42" i="6"/>
  <c r="M44" i="6"/>
  <c r="O46" i="4"/>
  <c r="O47" i="4" s="1"/>
  <c r="U40" i="4"/>
  <c r="U35" i="4"/>
  <c r="S41" i="4"/>
  <c r="Y39" i="5"/>
  <c r="S12" i="6"/>
  <c r="S13" i="6" s="1"/>
  <c r="S33" i="6" s="1"/>
  <c r="U11" i="6"/>
  <c r="U31" i="6"/>
  <c r="W16" i="6"/>
  <c r="W16" i="4"/>
  <c r="U31" i="4"/>
  <c r="Q35" i="6"/>
  <c r="Q37" i="6" s="1"/>
  <c r="Q40" i="6" s="1"/>
  <c r="O46" i="6"/>
  <c r="O47" i="6" s="1"/>
  <c r="O41" i="6"/>
  <c r="Q49" i="4"/>
  <c r="Q50" i="4" s="1"/>
  <c r="Q44" i="4"/>
  <c r="Q42" i="4"/>
  <c r="Q49" i="5"/>
  <c r="Q50" i="5" s="1"/>
  <c r="Q44" i="5"/>
  <c r="Q42" i="5"/>
  <c r="AA39" i="6"/>
  <c r="U40" i="5"/>
  <c r="U35" i="5"/>
  <c r="S41" i="5"/>
  <c r="Y16" i="5"/>
  <c r="W31" i="5"/>
  <c r="Y39" i="4"/>
  <c r="U11" i="4"/>
  <c r="S12" i="4"/>
  <c r="S13" i="4" s="1"/>
  <c r="S33" i="4" s="1"/>
  <c r="S37" i="4" s="1"/>
  <c r="U11" i="5"/>
  <c r="S12" i="5"/>
  <c r="S13" i="5" s="1"/>
  <c r="S33" i="5" s="1"/>
  <c r="S37" i="5" s="1"/>
  <c r="S46" i="5" s="1"/>
  <c r="S47" i="5" s="1"/>
  <c r="Q46" i="4" l="1"/>
  <c r="Q47" i="4" s="1"/>
  <c r="Q46" i="6"/>
  <c r="Q47" i="6" s="1"/>
  <c r="S35" i="6"/>
  <c r="S37" i="6" s="1"/>
  <c r="S40" i="6" s="1"/>
  <c r="Q41" i="6"/>
  <c r="Q42" i="6" s="1"/>
  <c r="W35" i="5"/>
  <c r="W40" i="5"/>
  <c r="U41" i="5"/>
  <c r="AC39" i="6"/>
  <c r="O49" i="6"/>
  <c r="O50" i="6" s="1"/>
  <c r="W31" i="6"/>
  <c r="Y16" i="6"/>
  <c r="U12" i="6"/>
  <c r="U13" i="6" s="1"/>
  <c r="U33" i="6" s="1"/>
  <c r="W11" i="6"/>
  <c r="U12" i="5"/>
  <c r="U13" i="5" s="1"/>
  <c r="U33" i="5" s="1"/>
  <c r="U37" i="5" s="1"/>
  <c r="U46" i="5" s="1"/>
  <c r="U47" i="5" s="1"/>
  <c r="W11" i="5"/>
  <c r="Y31" i="5"/>
  <c r="AA16" i="5"/>
  <c r="S44" i="5"/>
  <c r="S42" i="5"/>
  <c r="S49" i="5"/>
  <c r="S50" i="5" s="1"/>
  <c r="W35" i="4"/>
  <c r="W40" i="4"/>
  <c r="U41" i="4"/>
  <c r="U13" i="4"/>
  <c r="U33" i="4" s="1"/>
  <c r="U37" i="4" s="1"/>
  <c r="U12" i="4"/>
  <c r="W11" i="4"/>
  <c r="W31" i="4"/>
  <c r="Y16" i="4"/>
  <c r="S49" i="4"/>
  <c r="S50" i="4" s="1"/>
  <c r="S44" i="4"/>
  <c r="S42" i="4"/>
  <c r="AA39" i="4"/>
  <c r="O42" i="6"/>
  <c r="O44" i="6"/>
  <c r="AA39" i="5"/>
  <c r="S46" i="4" l="1"/>
  <c r="S47" i="4" s="1"/>
  <c r="S46" i="6"/>
  <c r="S47" i="6" s="1"/>
  <c r="U35" i="6"/>
  <c r="U37" i="6" s="1"/>
  <c r="U40" i="6" s="1"/>
  <c r="S41" i="6"/>
  <c r="W12" i="4"/>
  <c r="W13" i="4" s="1"/>
  <c r="W33" i="4" s="1"/>
  <c r="W37" i="4" s="1"/>
  <c r="Y11" i="4"/>
  <c r="Y40" i="4"/>
  <c r="Y35" i="4"/>
  <c r="W41" i="4"/>
  <c r="AE39" i="6"/>
  <c r="AA31" i="5"/>
  <c r="AC16" i="5"/>
  <c r="Y31" i="6"/>
  <c r="AA16" i="6"/>
  <c r="Q49" i="6"/>
  <c r="Q50" i="6" s="1"/>
  <c r="Q44" i="6"/>
  <c r="AC39" i="5"/>
  <c r="AC39" i="4"/>
  <c r="AA16" i="4"/>
  <c r="Y31" i="4"/>
  <c r="W12" i="6"/>
  <c r="W13" i="6" s="1"/>
  <c r="W33" i="6" s="1"/>
  <c r="Y11" i="6"/>
  <c r="U44" i="5"/>
  <c r="U42" i="5"/>
  <c r="U49" i="5"/>
  <c r="U50" i="5" s="1"/>
  <c r="U44" i="4"/>
  <c r="U42" i="4"/>
  <c r="U49" i="4"/>
  <c r="U50" i="4" s="1"/>
  <c r="Y11" i="5"/>
  <c r="W12" i="5"/>
  <c r="W13" i="5" s="1"/>
  <c r="W33" i="5" s="1"/>
  <c r="W37" i="5" s="1"/>
  <c r="W46" i="5" s="1"/>
  <c r="W47" i="5" s="1"/>
  <c r="Y40" i="5"/>
  <c r="Y35" i="5"/>
  <c r="W41" i="5"/>
  <c r="U46" i="4" l="1"/>
  <c r="U47" i="4" s="1"/>
  <c r="S49" i="6"/>
  <c r="S50" i="6" s="1"/>
  <c r="S42" i="6"/>
  <c r="W35" i="6"/>
  <c r="W37" i="6" s="1"/>
  <c r="W40" i="6" s="1"/>
  <c r="U46" i="6"/>
  <c r="U47" i="6" s="1"/>
  <c r="U41" i="6"/>
  <c r="AA40" i="5"/>
  <c r="AA35" i="5"/>
  <c r="Y41" i="5"/>
  <c r="AC16" i="6"/>
  <c r="AA31" i="6"/>
  <c r="AA40" i="4"/>
  <c r="AA35" i="4"/>
  <c r="Y41" i="4"/>
  <c r="S44" i="6"/>
  <c r="AA31" i="4"/>
  <c r="AC16" i="4"/>
  <c r="AG39" i="6"/>
  <c r="Y12" i="4"/>
  <c r="Y13" i="4" s="1"/>
  <c r="Y33" i="4" s="1"/>
  <c r="Y37" i="4" s="1"/>
  <c r="AA11" i="4"/>
  <c r="AE39" i="4"/>
  <c r="W49" i="5"/>
  <c r="W50" i="5" s="1"/>
  <c r="W44" i="5"/>
  <c r="W42" i="5"/>
  <c r="Y12" i="6"/>
  <c r="Y13" i="6" s="1"/>
  <c r="Y33" i="6" s="1"/>
  <c r="AA11" i="6"/>
  <c r="AE39" i="5"/>
  <c r="Y12" i="5"/>
  <c r="Y13" i="5" s="1"/>
  <c r="Y33" i="5" s="1"/>
  <c r="Y37" i="5" s="1"/>
  <c r="Y46" i="5" s="1"/>
  <c r="Y47" i="5" s="1"/>
  <c r="AA11" i="5"/>
  <c r="AC31" i="5"/>
  <c r="AE16" i="5"/>
  <c r="W49" i="4"/>
  <c r="W50" i="4" s="1"/>
  <c r="W44" i="4"/>
  <c r="W42" i="4"/>
  <c r="U49" i="6" l="1"/>
  <c r="U50" i="6" s="1"/>
  <c r="W46" i="4"/>
  <c r="W47" i="4" s="1"/>
  <c r="Y35" i="6"/>
  <c r="Y37" i="6" s="1"/>
  <c r="Y40" i="6" s="1"/>
  <c r="W46" i="6"/>
  <c r="W47" i="6" s="1"/>
  <c r="W41" i="6"/>
  <c r="AG16" i="5"/>
  <c r="AG31" i="5" s="1"/>
  <c r="AE31" i="5"/>
  <c r="AA12" i="6"/>
  <c r="AA13" i="6" s="1"/>
  <c r="AA33" i="6" s="1"/>
  <c r="AC11" i="6"/>
  <c r="AC11" i="4"/>
  <c r="AA12" i="4"/>
  <c r="AA13" i="4" s="1"/>
  <c r="AA33" i="4" s="1"/>
  <c r="AA37" i="4" s="1"/>
  <c r="AG39" i="5"/>
  <c r="AG39" i="4"/>
  <c r="AG41" i="4" s="1"/>
  <c r="AC11" i="5"/>
  <c r="AA12" i="5"/>
  <c r="AA13" i="5" s="1"/>
  <c r="AA33" i="5" s="1"/>
  <c r="AA37" i="5" s="1"/>
  <c r="AA46" i="5" s="1"/>
  <c r="AA47" i="5" s="1"/>
  <c r="AC40" i="4"/>
  <c r="AC35" i="4"/>
  <c r="AA41" i="4"/>
  <c r="U44" i="6"/>
  <c r="AC40" i="5"/>
  <c r="AC35" i="5"/>
  <c r="AA41" i="5"/>
  <c r="AE16" i="4"/>
  <c r="AC31" i="4"/>
  <c r="Y49" i="4"/>
  <c r="Y50" i="4" s="1"/>
  <c r="Y42" i="4"/>
  <c r="Y44" i="4"/>
  <c r="AC31" i="6"/>
  <c r="AE16" i="6"/>
  <c r="Y49" i="5"/>
  <c r="Y50" i="5" s="1"/>
  <c r="Y44" i="5"/>
  <c r="Y42" i="5"/>
  <c r="U42" i="6"/>
  <c r="Y46" i="4" l="1"/>
  <c r="Y47" i="4" s="1"/>
  <c r="AA46" i="4"/>
  <c r="AA47" i="4" s="1"/>
  <c r="Y46" i="6"/>
  <c r="Y47" i="6" s="1"/>
  <c r="AA35" i="6"/>
  <c r="AA37" i="6" s="1"/>
  <c r="AA40" i="6" s="1"/>
  <c r="Y41" i="6"/>
  <c r="Y42" i="6" s="1"/>
  <c r="AE40" i="5"/>
  <c r="AE35" i="5"/>
  <c r="AC41" i="5"/>
  <c r="AE40" i="4"/>
  <c r="AE35" i="4"/>
  <c r="AC41" i="4"/>
  <c r="W49" i="6"/>
  <c r="W50" i="6" s="1"/>
  <c r="AA49" i="5"/>
  <c r="AA50" i="5" s="1"/>
  <c r="AA44" i="5"/>
  <c r="AA42" i="5"/>
  <c r="AC13" i="4"/>
  <c r="AC33" i="4" s="1"/>
  <c r="AC37" i="4" s="1"/>
  <c r="AE11" i="4"/>
  <c r="AC12" i="4"/>
  <c r="W42" i="6"/>
  <c r="AC12" i="6"/>
  <c r="AC13" i="6" s="1"/>
  <c r="AC33" i="6" s="1"/>
  <c r="AE11" i="6"/>
  <c r="AG16" i="4"/>
  <c r="AG31" i="4" s="1"/>
  <c r="AE31" i="4"/>
  <c r="AE31" i="6"/>
  <c r="AG16" i="6"/>
  <c r="AG31" i="6" s="1"/>
  <c r="AA49" i="4"/>
  <c r="AA50" i="4" s="1"/>
  <c r="AA44" i="4"/>
  <c r="AA42" i="4"/>
  <c r="AE11" i="5"/>
  <c r="AC12" i="5"/>
  <c r="AC13" i="5" s="1"/>
  <c r="AC33" i="5" s="1"/>
  <c r="AC37" i="5" s="1"/>
  <c r="AC46" i="5" s="1"/>
  <c r="AC47" i="5" s="1"/>
  <c r="W44" i="6"/>
  <c r="AC46" i="4" l="1"/>
  <c r="AC47" i="4" s="1"/>
  <c r="AA46" i="6"/>
  <c r="AA47" i="6" s="1"/>
  <c r="AC35" i="6"/>
  <c r="AC37" i="6" s="1"/>
  <c r="AC40" i="6" s="1"/>
  <c r="AA41" i="6"/>
  <c r="AE12" i="4"/>
  <c r="AE13" i="4" s="1"/>
  <c r="AE33" i="4" s="1"/>
  <c r="AE37" i="4" s="1"/>
  <c r="AE46" i="4" s="1"/>
  <c r="AE47" i="4" s="1"/>
  <c r="AG11" i="4"/>
  <c r="AC49" i="4"/>
  <c r="AC50" i="4" s="1"/>
  <c r="AC44" i="4"/>
  <c r="AC42" i="4"/>
  <c r="AG11" i="6"/>
  <c r="AE12" i="6"/>
  <c r="AE13" i="6" s="1"/>
  <c r="AE33" i="6" s="1"/>
  <c r="AG40" i="5"/>
  <c r="AG41" i="5" s="1"/>
  <c r="AG35" i="5"/>
  <c r="AE41" i="5"/>
  <c r="AG35" i="4"/>
  <c r="AE41" i="4"/>
  <c r="Y49" i="6"/>
  <c r="Y50" i="6" s="1"/>
  <c r="Y44" i="6"/>
  <c r="AC44" i="5"/>
  <c r="AC42" i="5"/>
  <c r="AC49" i="5"/>
  <c r="AC50" i="5" s="1"/>
  <c r="AE12" i="5"/>
  <c r="AE13" i="5" s="1"/>
  <c r="AE33" i="5" s="1"/>
  <c r="AE37" i="5" s="1"/>
  <c r="AE46" i="5" s="1"/>
  <c r="AE47" i="5" s="1"/>
  <c r="AG11" i="5"/>
  <c r="AA49" i="6" l="1"/>
  <c r="AA50" i="6" s="1"/>
  <c r="AE35" i="6"/>
  <c r="AE37" i="6" s="1"/>
  <c r="AE40" i="6" s="1"/>
  <c r="AC46" i="6"/>
  <c r="AC47" i="6" s="1"/>
  <c r="AC41" i="6"/>
  <c r="AC49" i="6" s="1"/>
  <c r="AC50" i="6" s="1"/>
  <c r="AE49" i="5"/>
  <c r="AE50" i="5" s="1"/>
  <c r="AE44" i="5"/>
  <c r="AE42" i="5"/>
  <c r="AG13" i="6"/>
  <c r="AG33" i="6" s="1"/>
  <c r="AG12" i="6"/>
  <c r="AG12" i="4"/>
  <c r="AG13" i="4" s="1"/>
  <c r="AG33" i="4" s="1"/>
  <c r="AG37" i="4" s="1"/>
  <c r="AE49" i="4"/>
  <c r="AE50" i="4" s="1"/>
  <c r="AE44" i="4"/>
  <c r="AE42" i="4"/>
  <c r="AA42" i="6"/>
  <c r="AA44" i="6"/>
  <c r="AG12" i="5"/>
  <c r="AG13" i="5" s="1"/>
  <c r="AG33" i="5" s="1"/>
  <c r="AG37" i="5" s="1"/>
  <c r="AG46" i="4" l="1"/>
  <c r="AG47" i="4" s="1"/>
  <c r="AG49" i="4"/>
  <c r="AG50" i="4" s="1"/>
  <c r="AG42" i="4"/>
  <c r="AG44" i="4"/>
  <c r="AG46" i="5"/>
  <c r="AG47" i="5" s="1"/>
  <c r="AG49" i="5"/>
  <c r="AG50" i="5" s="1"/>
  <c r="AG44" i="5"/>
  <c r="AG42" i="5"/>
  <c r="AG35" i="6"/>
  <c r="AG37" i="6" s="1"/>
  <c r="AG40" i="6" s="1"/>
  <c r="AE46" i="6"/>
  <c r="AE47" i="6" s="1"/>
  <c r="AE41" i="6"/>
  <c r="AC42" i="6"/>
  <c r="AC44" i="6"/>
  <c r="AE49" i="6" l="1"/>
  <c r="AE50" i="6" s="1"/>
  <c r="AG46" i="6"/>
  <c r="AG47" i="6" s="1"/>
  <c r="AG41" i="6"/>
  <c r="AG44" i="6" s="1"/>
  <c r="AE42" i="6"/>
  <c r="AE44" i="6"/>
  <c r="AG49" i="6" l="1"/>
  <c r="AG50" i="6" s="1"/>
  <c r="AG42" i="6"/>
</calcChain>
</file>

<file path=xl/comments1.xml><?xml version="1.0" encoding="utf-8"?>
<comments xmlns="http://schemas.openxmlformats.org/spreadsheetml/2006/main">
  <authors>
    <author/>
  </authors>
  <commentList>
    <comment ref="A59" authorId="0">
      <text>
        <r>
          <rPr>
            <sz val="11"/>
            <color rgb="FF000000"/>
            <rFont val="Calibri"/>
          </rPr>
          <t>======
ID#AAAABtTMY_4
    (2018-03-12 17:13:21)
Insert your percentage changes for your "What If" scenarios.  
For example "What if" we got a 5% discount on the price of the property.  
"What If" we increased rents by 10%. 
"What If" we decreased expenses by 10%</t>
        </r>
      </text>
    </comment>
  </commentList>
</comments>
</file>

<file path=xl/sharedStrings.xml><?xml version="1.0" encoding="utf-8"?>
<sst xmlns="http://schemas.openxmlformats.org/spreadsheetml/2006/main" count="309" uniqueCount="127">
  <si>
    <t xml:space="preserve">Cash Flow Analysis for </t>
  </si>
  <si>
    <t xml:space="preserve">Number of Units </t>
  </si>
  <si>
    <t>Cash Investment Breakdown</t>
  </si>
  <si>
    <t>Purchase Price</t>
  </si>
  <si>
    <t>Provided by Joe Massey of Castle &amp; Cooke Mortgage</t>
  </si>
  <si>
    <t>Mortgage</t>
  </si>
  <si>
    <t>Down Payment</t>
  </si>
  <si>
    <t>Estimated Finance and Acquisition Costs</t>
  </si>
  <si>
    <t>Repair Costs</t>
  </si>
  <si>
    <t xml:space="preserve">Total Cash Investment </t>
  </si>
  <si>
    <t xml:space="preserve">Annual Cash Flow Statement </t>
  </si>
  <si>
    <t>Annual Income</t>
  </si>
  <si>
    <t>Annual Rental Income</t>
  </si>
  <si>
    <t>per month</t>
  </si>
  <si>
    <t xml:space="preserve"> - Vacancy</t>
  </si>
  <si>
    <t>Expected Annual Rental Income</t>
  </si>
  <si>
    <t>Annual Expenses</t>
  </si>
  <si>
    <t>Comments/Footnotes</t>
  </si>
  <si>
    <t>Real Estate Taxes</t>
  </si>
  <si>
    <t>Direct: 303-809-7769 - Email: jmassey@castlecookemortgage.com - Website: http://jmassey.castlecookemortgage.com</t>
  </si>
  <si>
    <t xml:space="preserve">Instructions:  </t>
  </si>
  <si>
    <t>Year 1</t>
  </si>
  <si>
    <t>Year 2</t>
  </si>
  <si>
    <t>Year 3</t>
  </si>
  <si>
    <t>Year 4</t>
  </si>
  <si>
    <t>Year 5</t>
  </si>
  <si>
    <t>Year 6</t>
  </si>
  <si>
    <t>Property Insurance</t>
  </si>
  <si>
    <t>Year 7</t>
  </si>
  <si>
    <t>Year 8</t>
  </si>
  <si>
    <t>Year 9</t>
  </si>
  <si>
    <t>Year 10</t>
  </si>
  <si>
    <t>Year 11</t>
  </si>
  <si>
    <t>Year 12</t>
  </si>
  <si>
    <t>Year 13</t>
  </si>
  <si>
    <t>Year 14</t>
  </si>
  <si>
    <t>Year 15</t>
  </si>
  <si>
    <t>Year 16</t>
  </si>
  <si>
    <t>Property Management</t>
  </si>
  <si>
    <t>Repairs and Maintenance</t>
  </si>
  <si>
    <t xml:space="preserve">1 - Work your way down this sheet inputting the appropriate information in to each highlighted tab. </t>
  </si>
  <si>
    <t xml:space="preserve">Utilities (If paid by owner) </t>
  </si>
  <si>
    <t xml:space="preserve">  Water and Sewer</t>
  </si>
  <si>
    <t xml:space="preserve">2 - Be sure to input the correct number of units for your subject property (SFR through Four-Plex) </t>
  </si>
  <si>
    <t xml:space="preserve">  Trash</t>
  </si>
  <si>
    <t xml:space="preserve">Latest Revision Date: </t>
  </si>
  <si>
    <t>3 - Please note that certain lines have comments to provide additional help for you</t>
  </si>
  <si>
    <t xml:space="preserve">  Electric</t>
  </si>
  <si>
    <t>February 27th, 2017</t>
  </si>
  <si>
    <t>4 - Once the highlighted cells are completed, you can view your results on the Cash-Flow Tab and What-If Tab</t>
  </si>
  <si>
    <t>Landscaping</t>
  </si>
  <si>
    <t>Property Address</t>
  </si>
  <si>
    <t>Number of Units</t>
  </si>
  <si>
    <t>Down Payment Percentage</t>
  </si>
  <si>
    <t xml:space="preserve">Acquisition Costs </t>
  </si>
  <si>
    <t>Loan Costs</t>
  </si>
  <si>
    <t>Total Annual Expenses</t>
  </si>
  <si>
    <t>Net Operating Income</t>
  </si>
  <si>
    <t>Less: Annual Mortgage Payments</t>
  </si>
  <si>
    <t xml:space="preserve">Down Payment </t>
  </si>
  <si>
    <t>@</t>
  </si>
  <si>
    <t>Mortgage Balance</t>
  </si>
  <si>
    <t>Initial Investment</t>
  </si>
  <si>
    <t>Initial Repair Costs</t>
  </si>
  <si>
    <t>=</t>
  </si>
  <si>
    <t xml:space="preserve"> per month</t>
  </si>
  <si>
    <t>Total Initial Investment</t>
  </si>
  <si>
    <t>Annual Cash Flow Before Taxes</t>
  </si>
  <si>
    <t>Mortgage Interest Rate</t>
  </si>
  <si>
    <t xml:space="preserve">Mortgage Term (years) </t>
  </si>
  <si>
    <t>Cash-on-Cash Rate of Return</t>
  </si>
  <si>
    <t>Extra Principal per Month</t>
  </si>
  <si>
    <t>MONTHLY Rental Income Per Unit</t>
  </si>
  <si>
    <t>Unit #1</t>
  </si>
  <si>
    <t>÷</t>
  </si>
  <si>
    <t>Unit #2</t>
  </si>
  <si>
    <t>CAP Rate</t>
  </si>
  <si>
    <t>Unit #3</t>
  </si>
  <si>
    <t>Unit #4</t>
  </si>
  <si>
    <t>Total Rental Income</t>
  </si>
  <si>
    <t>GRM - Gross Rent Multiplier</t>
  </si>
  <si>
    <t>Vacancy Factor</t>
  </si>
  <si>
    <t>Annual Rent Increase</t>
  </si>
  <si>
    <t xml:space="preserve">5 Year After-Tax Return </t>
  </si>
  <si>
    <t>5 Year After Tax Cash-flows + 5 Year Exit - Capital Gains</t>
  </si>
  <si>
    <t>Annual Appreciation Rate</t>
  </si>
  <si>
    <t>ANNUAL Operating Expenses</t>
  </si>
  <si>
    <t>Comments/Footnotes On Expenses</t>
  </si>
  <si>
    <t>Standard 10% of gross rents for Property Management</t>
  </si>
  <si>
    <t>Generally a minimum of 5% for repairs/maintenance</t>
  </si>
  <si>
    <t xml:space="preserve"> - Water and Sewer</t>
  </si>
  <si>
    <t xml:space="preserve"> - Trash</t>
  </si>
  <si>
    <t xml:space="preserve"> - Electric</t>
  </si>
  <si>
    <t>HOA Dues</t>
  </si>
  <si>
    <t>Other</t>
  </si>
  <si>
    <t>What If Scenarios</t>
  </si>
  <si>
    <t xml:space="preserve">What if you got a discount on the purchase price…  What percentage?  </t>
  </si>
  <si>
    <t xml:space="preserve">What if you lowered expenses…. What percentage? </t>
  </si>
  <si>
    <t xml:space="preserve">What if you increased rents…  What percentage? </t>
  </si>
  <si>
    <t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t>
  </si>
  <si>
    <t>Property Value at End of Year</t>
  </si>
  <si>
    <t>Mortgage Balance at End of Year</t>
  </si>
  <si>
    <t>Total Equity</t>
  </si>
  <si>
    <t>Equity + Cash Flow</t>
  </si>
  <si>
    <t>Total Cash Investment</t>
  </si>
  <si>
    <t>Annual Rate of Return</t>
  </si>
  <si>
    <t>Cumulative Cash Flow</t>
  </si>
  <si>
    <t>Cash on Cash Rate of Return</t>
  </si>
  <si>
    <t>Cumulative Cash and Equity Gain</t>
  </si>
  <si>
    <t>Rate of Return on Initial Cash Investment</t>
  </si>
  <si>
    <t>IRR</t>
  </si>
  <si>
    <t xml:space="preserve">Net Future value after 7% sales cost </t>
  </si>
  <si>
    <t xml:space="preserve">Pre Tax Terminal Value </t>
  </si>
  <si>
    <t>Capital Gain Base</t>
  </si>
  <si>
    <t>Capital Gains Tax at 19.6%</t>
  </si>
  <si>
    <t xml:space="preserve">After Tax Terminal Value </t>
  </si>
  <si>
    <t xml:space="preserve">"What-If" Analysis for </t>
  </si>
  <si>
    <t>What If…</t>
  </si>
  <si>
    <t>Description</t>
  </si>
  <si>
    <t>Actual from Cash Flow Analysis</t>
  </si>
  <si>
    <t>…we purchased the property at a discount</t>
  </si>
  <si>
    <t xml:space="preserve">…we increased rents. </t>
  </si>
  <si>
    <t>…we decreased expenses</t>
  </si>
  <si>
    <t>…we purchased at a discount, increased rents and decreased expenses</t>
  </si>
  <si>
    <t>Estimated Prepaid Costs</t>
  </si>
  <si>
    <t>Estimated Fincnace Costs</t>
  </si>
  <si>
    <t>9428 E. Lehigh Ave.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</si>
</sst>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0.000%"/>
    <numFmt numFmtId="167" formatCode="&quot;$&quot;#,##0.00"/>
    <numFmt numFmtId="168" formatCode="0.0%"/>
    <numFmt numFmtId="169" formatCode="0.0"/>
    <numFmt numFmtId="170" formatCode="_(&quot;$&quot;* #,##0_);_(&quot;$&quot;* \(#,##0\);_(&quot;$&quot;* &quot;-&quot;?_);_(@_)"/>
  </numFmts>
  <fonts count="18">
    <font>
      <sz val="11"/>
      <color rgb="FF000000"/>
      <name val="Calibri"/>
    </font>
    <font>
      <b/>
      <sz val="14"/>
      <color rgb="FF000000"/>
      <name val="Calibri"/>
    </font>
    <font>
      <b/>
      <sz val="14"/>
      <name val="Calibri"/>
    </font>
    <font>
      <b/>
      <sz val="12"/>
      <color rgb="FF000000"/>
      <name val="Calibri"/>
    </font>
    <font>
      <sz val="12"/>
      <color rgb="FF000000"/>
      <name val="Calibri"/>
    </font>
    <font>
      <sz val="11"/>
      <color rgb="FFD8D8D8"/>
      <name val="Calibri"/>
    </font>
    <font>
      <b/>
      <i/>
      <sz val="12"/>
      <color rgb="FF000000"/>
      <name val="Calibri"/>
    </font>
    <font>
      <sz val="11"/>
      <name val="Calibri"/>
    </font>
    <font>
      <b/>
      <sz val="11"/>
      <color rgb="FF000000"/>
      <name val="Calibri"/>
    </font>
    <font>
      <sz val="11"/>
      <name val="Calibri"/>
    </font>
    <font>
      <b/>
      <sz val="14"/>
      <color rgb="FFFF0000"/>
      <name val="Calibri"/>
    </font>
    <font>
      <sz val="14"/>
      <color rgb="FF000000"/>
      <name val="Calibri"/>
    </font>
    <font>
      <b/>
      <sz val="11"/>
      <color rgb="FFFF0000"/>
      <name val="Calibri"/>
    </font>
    <font>
      <b/>
      <sz val="12"/>
      <color rgb="FFFF0000"/>
      <name val="Calibri"/>
    </font>
    <font>
      <sz val="9"/>
      <color rgb="FF000000"/>
      <name val="Calibri"/>
    </font>
    <font>
      <sz val="12"/>
      <name val="Calibri"/>
    </font>
    <font>
      <sz val="9"/>
      <color rgb="FFBFBFBF"/>
      <name val="Calibri"/>
    </font>
    <font>
      <sz val="11"/>
      <color rgb="FFBFBFBF"/>
      <name val="Calibri"/>
    </font>
  </fonts>
  <fills count="6">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rgb="FFBFBFBF"/>
        <bgColor rgb="FFBFBFBF"/>
      </patternFill>
    </fill>
  </fills>
  <borders count="21">
    <border>
      <left/>
      <right/>
      <top/>
      <bottom/>
      <diagonal/>
    </border>
    <border>
      <left/>
      <right/>
      <top/>
      <bottom/>
      <diagonal/>
    </border>
    <border>
      <left/>
      <right/>
      <top/>
      <bottom/>
      <diagonal/>
    </border>
    <border>
      <left/>
      <right/>
      <top/>
      <bottom style="medium">
        <color rgb="FF000000"/>
      </bottom>
      <diagonal/>
    </border>
    <border>
      <left/>
      <right/>
      <top/>
      <bottom style="double">
        <color rgb="FF000000"/>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style="medium">
        <color rgb="FF000000"/>
      </top>
      <bottom style="double">
        <color rgb="FF000000"/>
      </bottom>
      <diagonal/>
    </border>
    <border>
      <left/>
      <right/>
      <top style="thin">
        <color rgb="FF000000"/>
      </top>
      <bottom style="medium">
        <color rgb="FF000000"/>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top style="medium">
        <color rgb="FF000000"/>
      </top>
      <bottom/>
      <diagonal/>
    </border>
  </borders>
  <cellStyleXfs count="1">
    <xf numFmtId="0" fontId="0" fillId="0" borderId="0"/>
  </cellStyleXfs>
  <cellXfs count="138">
    <xf numFmtId="0" fontId="0" fillId="0" borderId="0" xfId="0" applyFont="1" applyAlignment="1"/>
    <xf numFmtId="0" fontId="1" fillId="2" borderId="1" xfId="0" applyFont="1" applyFill="1" applyBorder="1"/>
    <xf numFmtId="0" fontId="0" fillId="2" borderId="1" xfId="0" applyFont="1" applyFill="1" applyBorder="1"/>
    <xf numFmtId="0" fontId="2" fillId="2" borderId="0" xfId="0" applyFont="1" applyFill="1" applyAlignment="1">
      <alignment horizontal="center"/>
    </xf>
    <xf numFmtId="0" fontId="3" fillId="2" borderId="1" xfId="0" applyFont="1" applyFill="1" applyBorder="1"/>
    <xf numFmtId="0" fontId="4" fillId="2" borderId="1" xfId="0" applyFont="1" applyFill="1" applyBorder="1" applyAlignment="1">
      <alignment horizontal="center"/>
    </xf>
    <xf numFmtId="0" fontId="4" fillId="2" borderId="1" xfId="0" applyFont="1" applyFill="1" applyBorder="1"/>
    <xf numFmtId="0" fontId="2" fillId="2" borderId="0" xfId="0" applyFont="1" applyFill="1" applyAlignment="1">
      <alignment horizontal="center"/>
    </xf>
    <xf numFmtId="0" fontId="0" fillId="3" borderId="0" xfId="0" applyFont="1" applyFill="1"/>
    <xf numFmtId="0" fontId="5" fillId="3" borderId="0" xfId="0" applyFont="1" applyFill="1"/>
    <xf numFmtId="164" fontId="4" fillId="2" borderId="1" xfId="0" applyNumberFormat="1" applyFont="1" applyFill="1" applyBorder="1"/>
    <xf numFmtId="164" fontId="4" fillId="2" borderId="3" xfId="0" applyNumberFormat="1" applyFont="1" applyFill="1" applyBorder="1"/>
    <xf numFmtId="164" fontId="1" fillId="2" borderId="4" xfId="0" applyNumberFormat="1" applyFont="1" applyFill="1" applyBorder="1"/>
    <xf numFmtId="0" fontId="6" fillId="2" borderId="1" xfId="0" applyFont="1" applyFill="1" applyBorder="1"/>
    <xf numFmtId="42" fontId="4" fillId="2" borderId="1" xfId="0" applyNumberFormat="1" applyFont="1" applyFill="1" applyBorder="1"/>
    <xf numFmtId="165" fontId="4" fillId="2" borderId="5" xfId="0" applyNumberFormat="1" applyFont="1" applyFill="1" applyBorder="1" applyAlignment="1">
      <alignment horizontal="center"/>
    </xf>
    <xf numFmtId="0" fontId="4" fillId="2" borderId="5" xfId="0" applyFont="1" applyFill="1" applyBorder="1"/>
    <xf numFmtId="9" fontId="4" fillId="2" borderId="1" xfId="0" applyNumberFormat="1" applyFont="1" applyFill="1" applyBorder="1" applyAlignment="1">
      <alignment horizontal="center"/>
    </xf>
    <xf numFmtId="42" fontId="4" fillId="2" borderId="3" xfId="0" applyNumberFormat="1" applyFont="1" applyFill="1" applyBorder="1"/>
    <xf numFmtId="42" fontId="3" fillId="2" borderId="1" xfId="0" applyNumberFormat="1" applyFont="1" applyFill="1" applyBorder="1"/>
    <xf numFmtId="0" fontId="0" fillId="3" borderId="1" xfId="0" applyFont="1" applyFill="1" applyBorder="1"/>
    <xf numFmtId="0" fontId="5" fillId="3" borderId="1" xfId="0" applyFont="1" applyFill="1" applyBorder="1"/>
    <xf numFmtId="0" fontId="0" fillId="2" borderId="1" xfId="0" applyFont="1" applyFill="1" applyBorder="1" applyAlignment="1">
      <alignment horizontal="center" wrapText="1"/>
    </xf>
    <xf numFmtId="0" fontId="8" fillId="2" borderId="1" xfId="0" applyFont="1" applyFill="1" applyBorder="1" applyAlignment="1">
      <alignment horizontal="center"/>
    </xf>
    <xf numFmtId="0" fontId="0" fillId="2" borderId="1" xfId="0" applyFont="1" applyFill="1" applyBorder="1" applyAlignment="1">
      <alignment horizontal="center"/>
    </xf>
    <xf numFmtId="0" fontId="8" fillId="2" borderId="1" xfId="0" applyFont="1" applyFill="1" applyBorder="1" applyAlignment="1">
      <alignment horizontal="center" wrapText="1"/>
    </xf>
    <xf numFmtId="0" fontId="9" fillId="3" borderId="1" xfId="0" applyFont="1" applyFill="1" applyBorder="1"/>
    <xf numFmtId="0" fontId="8" fillId="2" borderId="1" xfId="0" applyFont="1" applyFill="1" applyBorder="1"/>
    <xf numFmtId="0" fontId="9" fillId="4" borderId="1" xfId="0" applyFont="1" applyFill="1" applyBorder="1" applyAlignment="1">
      <alignment horizontal="center"/>
    </xf>
    <xf numFmtId="164" fontId="9" fillId="4" borderId="1" xfId="0" applyNumberFormat="1" applyFont="1" applyFill="1" applyBorder="1" applyAlignment="1">
      <alignment horizontal="left"/>
    </xf>
    <xf numFmtId="164" fontId="9" fillId="4" borderId="1" xfId="0" applyNumberFormat="1" applyFont="1" applyFill="1" applyBorder="1" applyAlignment="1">
      <alignment horizontal="left"/>
    </xf>
    <xf numFmtId="164" fontId="0" fillId="2" borderId="1" xfId="0" applyNumberFormat="1" applyFont="1" applyFill="1" applyBorder="1" applyAlignment="1">
      <alignment horizontal="left"/>
    </xf>
    <xf numFmtId="165" fontId="0" fillId="2" borderId="5" xfId="0" applyNumberFormat="1" applyFont="1" applyFill="1" applyBorder="1" applyAlignment="1">
      <alignment horizontal="center"/>
    </xf>
    <xf numFmtId="0" fontId="0" fillId="2" borderId="5" xfId="0" applyFont="1" applyFill="1" applyBorder="1" applyAlignment="1">
      <alignment horizontal="center"/>
    </xf>
    <xf numFmtId="164" fontId="0" fillId="2" borderId="1" xfId="0" applyNumberFormat="1" applyFont="1" applyFill="1" applyBorder="1"/>
    <xf numFmtId="166" fontId="0" fillId="2" borderId="5" xfId="0" applyNumberFormat="1" applyFont="1" applyFill="1" applyBorder="1" applyAlignment="1">
      <alignment horizontal="center"/>
    </xf>
    <xf numFmtId="42" fontId="0" fillId="2" borderId="1" xfId="0" applyNumberFormat="1" applyFont="1" applyFill="1" applyBorder="1"/>
    <xf numFmtId="167" fontId="0" fillId="2" borderId="5" xfId="0" applyNumberFormat="1" applyFont="1" applyFill="1" applyBorder="1" applyAlignment="1">
      <alignment horizontal="center"/>
    </xf>
    <xf numFmtId="44" fontId="9" fillId="4" borderId="1" xfId="0" applyNumberFormat="1" applyFont="1" applyFill="1" applyBorder="1"/>
    <xf numFmtId="0" fontId="0" fillId="2" borderId="5" xfId="0" applyFont="1" applyFill="1" applyBorder="1"/>
    <xf numFmtId="0" fontId="11" fillId="2" borderId="1" xfId="0" applyFont="1" applyFill="1" applyBorder="1"/>
    <xf numFmtId="166" fontId="9" fillId="4" borderId="1" xfId="0" applyNumberFormat="1" applyFont="1" applyFill="1" applyBorder="1" applyAlignment="1">
      <alignment horizontal="center"/>
    </xf>
    <xf numFmtId="164" fontId="1" fillId="2" borderId="14" xfId="0" applyNumberFormat="1" applyFont="1" applyFill="1" applyBorder="1"/>
    <xf numFmtId="1" fontId="9" fillId="4" borderId="1" xfId="0" applyNumberFormat="1" applyFont="1" applyFill="1" applyBorder="1" applyAlignment="1">
      <alignment horizontal="center"/>
    </xf>
    <xf numFmtId="0" fontId="1" fillId="2" borderId="1" xfId="0" applyFont="1" applyFill="1" applyBorder="1" applyAlignment="1">
      <alignment horizontal="left"/>
    </xf>
    <xf numFmtId="0" fontId="1" fillId="2" borderId="1" xfId="0" applyFont="1" applyFill="1" applyBorder="1" applyAlignment="1">
      <alignment horizontal="center"/>
    </xf>
    <xf numFmtId="42" fontId="0" fillId="2" borderId="3" xfId="0" applyNumberFormat="1" applyFont="1" applyFill="1" applyBorder="1"/>
    <xf numFmtId="9" fontId="1" fillId="2" borderId="4" xfId="0" applyNumberFormat="1" applyFont="1" applyFill="1" applyBorder="1" applyAlignment="1">
      <alignment horizontal="center"/>
    </xf>
    <xf numFmtId="164" fontId="9" fillId="4" borderId="1" xfId="0" applyNumberFormat="1" applyFont="1" applyFill="1" applyBorder="1" applyAlignment="1">
      <alignment horizontal="center"/>
    </xf>
    <xf numFmtId="165" fontId="0" fillId="3" borderId="1" xfId="0" applyNumberFormat="1" applyFont="1" applyFill="1" applyBorder="1"/>
    <xf numFmtId="9" fontId="0" fillId="2" borderId="5" xfId="0" applyNumberFormat="1" applyFont="1" applyFill="1" applyBorder="1" applyAlignment="1">
      <alignment horizontal="center"/>
    </xf>
    <xf numFmtId="164" fontId="9" fillId="4" borderId="1" xfId="0" applyNumberFormat="1" applyFont="1" applyFill="1" applyBorder="1" applyAlignment="1">
      <alignment horizontal="center"/>
    </xf>
    <xf numFmtId="168" fontId="1" fillId="2" borderId="4" xfId="0" applyNumberFormat="1" applyFont="1" applyFill="1" applyBorder="1" applyAlignment="1">
      <alignment horizontal="center"/>
    </xf>
    <xf numFmtId="0" fontId="12" fillId="2" borderId="1" xfId="0" applyFont="1" applyFill="1" applyBorder="1"/>
    <xf numFmtId="164" fontId="0" fillId="3" borderId="1" xfId="0" applyNumberFormat="1" applyFont="1" applyFill="1" applyBorder="1"/>
    <xf numFmtId="168" fontId="0" fillId="2" borderId="5" xfId="0" applyNumberFormat="1" applyFont="1" applyFill="1" applyBorder="1" applyAlignment="1">
      <alignment horizontal="center"/>
    </xf>
    <xf numFmtId="168" fontId="1" fillId="2" borderId="1" xfId="0" applyNumberFormat="1" applyFont="1" applyFill="1" applyBorder="1" applyAlignment="1">
      <alignment horizontal="center"/>
    </xf>
    <xf numFmtId="165" fontId="0" fillId="2" borderId="1" xfId="0" applyNumberFormat="1" applyFont="1" applyFill="1" applyBorder="1" applyAlignment="1">
      <alignment horizontal="center"/>
    </xf>
    <xf numFmtId="168" fontId="0" fillId="2" borderId="1" xfId="0" applyNumberFormat="1" applyFont="1" applyFill="1" applyBorder="1" applyAlignment="1">
      <alignment horizontal="center"/>
    </xf>
    <xf numFmtId="164" fontId="0" fillId="2" borderId="1" xfId="0" applyNumberFormat="1" applyFont="1" applyFill="1" applyBorder="1" applyAlignment="1">
      <alignment horizontal="center"/>
    </xf>
    <xf numFmtId="169" fontId="1" fillId="2" borderId="4" xfId="0" applyNumberFormat="1" applyFont="1" applyFill="1" applyBorder="1" applyAlignment="1">
      <alignment horizontal="center"/>
    </xf>
    <xf numFmtId="9" fontId="9" fillId="4" borderId="1" xfId="0" applyNumberFormat="1" applyFont="1" applyFill="1" applyBorder="1" applyAlignment="1">
      <alignment horizontal="center"/>
    </xf>
    <xf numFmtId="9" fontId="9" fillId="0" borderId="0" xfId="0" applyNumberFormat="1" applyFont="1" applyAlignment="1">
      <alignment horizontal="center"/>
    </xf>
    <xf numFmtId="169" fontId="0" fillId="2" borderId="5" xfId="0" applyNumberFormat="1" applyFont="1" applyFill="1" applyBorder="1" applyAlignment="1">
      <alignment horizontal="center"/>
    </xf>
    <xf numFmtId="9" fontId="9" fillId="4" borderId="1" xfId="0" applyNumberFormat="1" applyFont="1" applyFill="1" applyBorder="1" applyAlignment="1">
      <alignment horizontal="center"/>
    </xf>
    <xf numFmtId="168" fontId="9" fillId="4" borderId="1" xfId="0" applyNumberFormat="1" applyFont="1" applyFill="1" applyBorder="1" applyAlignment="1">
      <alignment horizontal="center"/>
    </xf>
    <xf numFmtId="0" fontId="9" fillId="4" borderId="1" xfId="0" applyFont="1" applyFill="1" applyBorder="1" applyAlignment="1"/>
    <xf numFmtId="0" fontId="9" fillId="4" borderId="1" xfId="0" applyFont="1" applyFill="1" applyBorder="1"/>
    <xf numFmtId="170" fontId="9" fillId="4" borderId="1" xfId="0" applyNumberFormat="1" applyFont="1" applyFill="1" applyBorder="1"/>
    <xf numFmtId="164" fontId="9" fillId="4" borderId="1" xfId="0" applyNumberFormat="1" applyFont="1" applyFill="1" applyBorder="1"/>
    <xf numFmtId="0" fontId="9" fillId="0" borderId="0" xfId="0" applyFont="1"/>
    <xf numFmtId="9" fontId="9" fillId="4" borderId="1" xfId="0" applyNumberFormat="1" applyFont="1" applyFill="1" applyBorder="1"/>
    <xf numFmtId="42" fontId="1" fillId="2" borderId="14" xfId="0" applyNumberFormat="1" applyFont="1" applyFill="1" applyBorder="1"/>
    <xf numFmtId="42" fontId="1" fillId="2" borderId="1" xfId="0" applyNumberFormat="1" applyFont="1" applyFill="1" applyBorder="1"/>
    <xf numFmtId="42" fontId="4" fillId="2" borderId="5" xfId="0" applyNumberFormat="1" applyFont="1" applyFill="1" applyBorder="1"/>
    <xf numFmtId="164" fontId="4" fillId="2" borderId="5" xfId="0" applyNumberFormat="1" applyFont="1" applyFill="1" applyBorder="1"/>
    <xf numFmtId="44" fontId="4" fillId="2" borderId="5" xfId="0" applyNumberFormat="1" applyFont="1" applyFill="1" applyBorder="1"/>
    <xf numFmtId="42" fontId="4" fillId="2" borderId="15" xfId="0" applyNumberFormat="1" applyFont="1" applyFill="1" applyBorder="1"/>
    <xf numFmtId="42" fontId="1" fillId="2" borderId="4" xfId="0" applyNumberFormat="1" applyFont="1" applyFill="1" applyBorder="1"/>
    <xf numFmtId="168" fontId="3" fillId="2" borderId="1" xfId="0" applyNumberFormat="1" applyFont="1" applyFill="1" applyBorder="1" applyAlignment="1">
      <alignment horizontal="center"/>
    </xf>
    <xf numFmtId="168" fontId="4" fillId="2" borderId="1" xfId="0" applyNumberFormat="1" applyFont="1" applyFill="1" applyBorder="1"/>
    <xf numFmtId="164" fontId="15" fillId="2" borderId="5" xfId="0" applyNumberFormat="1" applyFont="1" applyFill="1" applyBorder="1"/>
    <xf numFmtId="164" fontId="3" fillId="2" borderId="4" xfId="0" applyNumberFormat="1" applyFont="1" applyFill="1" applyBorder="1" applyAlignment="1">
      <alignment horizontal="right"/>
    </xf>
    <xf numFmtId="164" fontId="3" fillId="2" borderId="1" xfId="0" applyNumberFormat="1" applyFont="1" applyFill="1" applyBorder="1" applyAlignment="1">
      <alignment horizontal="right"/>
    </xf>
    <xf numFmtId="168" fontId="3" fillId="2" borderId="1" xfId="0" applyNumberFormat="1" applyFont="1" applyFill="1" applyBorder="1" applyAlignment="1">
      <alignment horizontal="right"/>
    </xf>
    <xf numFmtId="42" fontId="3" fillId="2" borderId="1" xfId="0" applyNumberFormat="1" applyFont="1" applyFill="1" applyBorder="1" applyAlignment="1">
      <alignment horizontal="right"/>
    </xf>
    <xf numFmtId="168" fontId="0" fillId="2" borderId="1" xfId="0" applyNumberFormat="1" applyFont="1" applyFill="1" applyBorder="1"/>
    <xf numFmtId="42" fontId="14" fillId="2" borderId="1" xfId="0" applyNumberFormat="1" applyFont="1" applyFill="1" applyBorder="1" applyAlignment="1">
      <alignment wrapText="1"/>
    </xf>
    <xf numFmtId="0" fontId="14" fillId="2" borderId="1" xfId="0" applyFont="1" applyFill="1" applyBorder="1" applyAlignment="1">
      <alignment wrapText="1"/>
    </xf>
    <xf numFmtId="0" fontId="14" fillId="2" borderId="1" xfId="0" applyFont="1" applyFill="1" applyBorder="1" applyAlignment="1">
      <alignment horizontal="center" wrapText="1"/>
    </xf>
    <xf numFmtId="0" fontId="14" fillId="5" borderId="1" xfId="0" applyFont="1" applyFill="1" applyBorder="1" applyAlignment="1">
      <alignment wrapText="1"/>
    </xf>
    <xf numFmtId="164" fontId="16" fillId="5" borderId="1" xfId="0" applyNumberFormat="1" applyFont="1" applyFill="1" applyBorder="1" applyAlignment="1">
      <alignment wrapText="1"/>
    </xf>
    <xf numFmtId="42" fontId="16" fillId="5" borderId="1" xfId="0" applyNumberFormat="1" applyFont="1" applyFill="1" applyBorder="1" applyAlignment="1">
      <alignment wrapText="1"/>
    </xf>
    <xf numFmtId="0" fontId="16" fillId="5" borderId="1" xfId="0" applyFont="1" applyFill="1" applyBorder="1" applyAlignment="1">
      <alignment wrapText="1"/>
    </xf>
    <xf numFmtId="0" fontId="17" fillId="5" borderId="1" xfId="0" applyFont="1" applyFill="1" applyBorder="1"/>
    <xf numFmtId="9" fontId="17" fillId="5" borderId="1" xfId="0" applyNumberFormat="1" applyFont="1" applyFill="1" applyBorder="1"/>
    <xf numFmtId="0" fontId="0" fillId="5" borderId="1" xfId="0" applyFont="1" applyFill="1" applyBorder="1"/>
    <xf numFmtId="44" fontId="17" fillId="5" borderId="1" xfId="0" applyNumberFormat="1" applyFont="1" applyFill="1" applyBorder="1"/>
    <xf numFmtId="164" fontId="0" fillId="5" borderId="1" xfId="0" applyNumberFormat="1" applyFont="1" applyFill="1" applyBorder="1"/>
    <xf numFmtId="42" fontId="0" fillId="5" borderId="1" xfId="0" applyNumberFormat="1" applyFont="1" applyFill="1" applyBorder="1"/>
    <xf numFmtId="9" fontId="0" fillId="5" borderId="1" xfId="0" applyNumberFormat="1" applyFont="1" applyFill="1" applyBorder="1"/>
    <xf numFmtId="44" fontId="0" fillId="2" borderId="1" xfId="0" applyNumberFormat="1" applyFont="1" applyFill="1" applyBorder="1"/>
    <xf numFmtId="44" fontId="0" fillId="2" borderId="1" xfId="0" applyNumberFormat="1" applyFont="1" applyFill="1" applyBorder="1" applyAlignment="1">
      <alignment horizontal="left"/>
    </xf>
    <xf numFmtId="164" fontId="0" fillId="2" borderId="14" xfId="0" applyNumberFormat="1" applyFont="1" applyFill="1" applyBorder="1"/>
    <xf numFmtId="164" fontId="0" fillId="2" borderId="3" xfId="0" applyNumberFormat="1" applyFont="1" applyFill="1" applyBorder="1"/>
    <xf numFmtId="164" fontId="8" fillId="2" borderId="1" xfId="0" applyNumberFormat="1" applyFont="1" applyFill="1" applyBorder="1"/>
    <xf numFmtId="164" fontId="8" fillId="2" borderId="20" xfId="0" applyNumberFormat="1" applyFont="1" applyFill="1" applyBorder="1"/>
    <xf numFmtId="44" fontId="8" fillId="2" borderId="20" xfId="0" applyNumberFormat="1" applyFont="1" applyFill="1" applyBorder="1"/>
    <xf numFmtId="164" fontId="3" fillId="2" borderId="14" xfId="0" applyNumberFormat="1" applyFont="1" applyFill="1" applyBorder="1"/>
    <xf numFmtId="0" fontId="3" fillId="2" borderId="1" xfId="0" applyFont="1" applyFill="1" applyBorder="1" applyAlignment="1">
      <alignment horizontal="left"/>
    </xf>
    <xf numFmtId="9" fontId="3" fillId="2" borderId="4" xfId="0" applyNumberFormat="1" applyFont="1" applyFill="1" applyBorder="1"/>
    <xf numFmtId="44" fontId="4" fillId="2" borderId="1" xfId="0" applyNumberFormat="1" applyFont="1" applyFill="1" applyBorder="1"/>
    <xf numFmtId="168" fontId="3" fillId="2" borderId="4" xfId="0" applyNumberFormat="1" applyFont="1" applyFill="1" applyBorder="1"/>
    <xf numFmtId="0" fontId="7" fillId="4" borderId="5" xfId="0" applyFont="1" applyFill="1" applyBorder="1" applyAlignment="1">
      <alignment horizontal="center"/>
    </xf>
    <xf numFmtId="0" fontId="8" fillId="2" borderId="2" xfId="0" applyFont="1" applyFill="1" applyBorder="1" applyAlignment="1">
      <alignment horizontal="center"/>
    </xf>
    <xf numFmtId="0" fontId="7" fillId="0" borderId="6" xfId="0" applyFont="1" applyBorder="1"/>
    <xf numFmtId="49" fontId="9" fillId="4" borderId="2" xfId="0" applyNumberFormat="1" applyFont="1" applyFill="1" applyBorder="1" applyAlignment="1">
      <alignment horizontal="center"/>
    </xf>
    <xf numFmtId="0" fontId="13" fillId="2" borderId="11" xfId="0" applyFont="1" applyFill="1" applyBorder="1" applyAlignment="1">
      <alignment horizontal="center" vertical="center" wrapText="1"/>
    </xf>
    <xf numFmtId="0" fontId="7" fillId="0" borderId="12" xfId="0" applyFont="1" applyBorder="1"/>
    <xf numFmtId="0" fontId="7" fillId="0" borderId="13" xfId="0" applyFont="1" applyBorder="1"/>
    <xf numFmtId="0" fontId="0" fillId="0" borderId="0" xfId="0" applyFont="1" applyAlignment="1"/>
    <xf numFmtId="0" fontId="0" fillId="2" borderId="11" xfId="0" applyFont="1" applyFill="1" applyBorder="1" applyAlignment="1">
      <alignment horizontal="center" wrapText="1"/>
    </xf>
    <xf numFmtId="0" fontId="10" fillId="2" borderId="11" xfId="0" applyFont="1" applyFill="1" applyBorder="1" applyAlignment="1">
      <alignment horizontal="center" vertical="center" wrapText="1"/>
    </xf>
    <xf numFmtId="0" fontId="0" fillId="2" borderId="2" xfId="0" applyFont="1" applyFill="1" applyBorder="1" applyAlignment="1">
      <alignment horizontal="left" wrapText="1"/>
    </xf>
    <xf numFmtId="0" fontId="2" fillId="2" borderId="2" xfId="0" applyFont="1" applyFill="1" applyBorder="1" applyAlignment="1">
      <alignment horizontal="center"/>
    </xf>
    <xf numFmtId="0" fontId="0" fillId="2" borderId="2" xfId="0" applyFont="1" applyFill="1" applyBorder="1" applyAlignment="1">
      <alignment horizontal="left"/>
    </xf>
    <xf numFmtId="43" fontId="4" fillId="2" borderId="9" xfId="0" applyNumberFormat="1" applyFont="1" applyFill="1" applyBorder="1" applyAlignment="1">
      <alignment horizontal="center"/>
    </xf>
    <xf numFmtId="0" fontId="7" fillId="0" borderId="10" xfId="0" applyFont="1" applyBorder="1"/>
    <xf numFmtId="43" fontId="4" fillId="2" borderId="7" xfId="0" applyNumberFormat="1" applyFont="1" applyFill="1" applyBorder="1" applyAlignment="1">
      <alignment horizontal="center"/>
    </xf>
    <xf numFmtId="0" fontId="7" fillId="0" borderId="8" xfId="0" applyFont="1" applyBorder="1"/>
    <xf numFmtId="165" fontId="0" fillId="2" borderId="7" xfId="0" quotePrefix="1" applyNumberFormat="1" applyFont="1" applyFill="1" applyBorder="1" applyAlignment="1">
      <alignment horizontal="center"/>
    </xf>
    <xf numFmtId="0" fontId="14" fillId="2" borderId="11" xfId="0" applyFont="1" applyFill="1" applyBorder="1" applyAlignment="1">
      <alignment horizontal="center" wrapText="1"/>
    </xf>
    <xf numFmtId="0" fontId="3" fillId="2" borderId="16" xfId="0" applyFont="1" applyFill="1" applyBorder="1" applyAlignment="1">
      <alignment horizontal="center" vertical="center"/>
    </xf>
    <xf numFmtId="0" fontId="7" fillId="0" borderId="18" xfId="0" applyFont="1" applyBorder="1"/>
    <xf numFmtId="0" fontId="8" fillId="2" borderId="17" xfId="0" applyFont="1" applyFill="1" applyBorder="1" applyAlignment="1">
      <alignment horizontal="center" vertical="center" wrapText="1"/>
    </xf>
    <xf numFmtId="0" fontId="7" fillId="0" borderId="19" xfId="0" applyFont="1" applyBorder="1"/>
    <xf numFmtId="0" fontId="0" fillId="2" borderId="17" xfId="0" applyFont="1" applyFill="1" applyBorder="1" applyAlignment="1">
      <alignment horizontal="center" vertical="center" wrapText="1"/>
    </xf>
    <xf numFmtId="0" fontId="0" fillId="2" borderId="17" xfId="0" applyFont="1" applyFill="1" applyBorder="1" applyAlignment="1">
      <alignment horizont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464820</xdr:colOff>
      <xdr:row>43</xdr:row>
      <xdr:rowOff>15240</xdr:rowOff>
    </xdr:to>
    <xdr:sp macro="" textlink="">
      <xdr:nvSpPr>
        <xdr:cNvPr id="1026"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2"/>
  <sheetViews>
    <sheetView topLeftCell="A22" workbookViewId="0">
      <selection activeCell="B51" sqref="B51"/>
    </sheetView>
  </sheetViews>
  <sheetFormatPr defaultColWidth="14.44140625" defaultRowHeight="15" customHeight="1"/>
  <cols>
    <col min="1" max="1" width="26.88671875" customWidth="1"/>
    <col min="2" max="2" width="22.109375" customWidth="1"/>
    <col min="3" max="3" width="11" customWidth="1"/>
    <col min="4" max="4" width="5" customWidth="1"/>
    <col min="5" max="5" width="11.33203125" customWidth="1"/>
    <col min="6" max="6" width="16.5546875" customWidth="1"/>
    <col min="7" max="7" width="11.44140625" customWidth="1"/>
    <col min="8" max="8" width="12.33203125" customWidth="1"/>
    <col min="9" max="9" width="10.6640625" customWidth="1"/>
    <col min="10" max="10" width="9.109375" customWidth="1"/>
    <col min="11" max="11" width="7.33203125" customWidth="1"/>
    <col min="12" max="12" width="2.33203125" customWidth="1"/>
    <col min="13" max="13" width="6.33203125" customWidth="1"/>
    <col min="14" max="14" width="2.33203125" customWidth="1"/>
    <col min="15" max="15" width="7.109375" customWidth="1"/>
    <col min="16" max="16" width="2.44140625" customWidth="1"/>
    <col min="17" max="17" width="6.6640625" customWidth="1"/>
    <col min="18" max="18" width="2.6640625" customWidth="1"/>
    <col min="19" max="19" width="8" customWidth="1"/>
    <col min="20" max="21" width="9.109375" customWidth="1"/>
  </cols>
  <sheetData>
    <row r="1" spans="1:21" ht="14.25" customHeight="1">
      <c r="A1" s="3"/>
      <c r="B1" s="7"/>
      <c r="C1" s="3"/>
      <c r="D1" s="3"/>
      <c r="E1" s="3"/>
      <c r="F1" s="3"/>
      <c r="G1" s="3"/>
      <c r="H1" s="3"/>
      <c r="I1" s="3"/>
      <c r="J1" s="8"/>
      <c r="K1" s="9"/>
      <c r="L1" s="8"/>
      <c r="M1" s="8"/>
      <c r="N1" s="8"/>
      <c r="O1" s="8"/>
      <c r="P1" s="8"/>
      <c r="Q1" s="8"/>
      <c r="R1" s="8"/>
      <c r="S1" s="8"/>
      <c r="T1" s="8"/>
      <c r="U1" s="8"/>
    </row>
    <row r="2" spans="1:21" ht="14.25" customHeight="1">
      <c r="A2" s="124" t="s">
        <v>4</v>
      </c>
      <c r="B2" s="115"/>
      <c r="C2" s="115"/>
      <c r="D2" s="115"/>
      <c r="E2" s="115"/>
      <c r="F2" s="115"/>
      <c r="G2" s="115"/>
      <c r="H2" s="115"/>
      <c r="I2" s="115"/>
      <c r="J2" s="20"/>
      <c r="K2" s="21">
        <v>2</v>
      </c>
      <c r="L2" s="20"/>
      <c r="M2" s="20"/>
      <c r="N2" s="20"/>
      <c r="O2" s="20"/>
      <c r="P2" s="20"/>
      <c r="Q2" s="20"/>
      <c r="R2" s="20"/>
      <c r="S2" s="20"/>
      <c r="T2" s="20"/>
      <c r="U2" s="20"/>
    </row>
    <row r="3" spans="1:21" ht="18" customHeight="1">
      <c r="A3" s="22"/>
      <c r="B3" s="2"/>
      <c r="C3" s="2"/>
      <c r="D3" s="23" t="s">
        <v>19</v>
      </c>
      <c r="E3" s="22"/>
      <c r="F3" s="22"/>
      <c r="G3" s="22"/>
      <c r="H3" s="22"/>
      <c r="I3" s="22"/>
      <c r="J3" s="20"/>
      <c r="K3" s="21">
        <v>3</v>
      </c>
      <c r="L3" s="20"/>
      <c r="M3" s="20"/>
      <c r="N3" s="20"/>
      <c r="O3" s="20"/>
      <c r="P3" s="20"/>
      <c r="Q3" s="20"/>
      <c r="R3" s="20"/>
      <c r="S3" s="20"/>
      <c r="T3" s="20"/>
      <c r="U3" s="20"/>
    </row>
    <row r="4" spans="1:21" ht="6.75" customHeight="1">
      <c r="A4" s="22"/>
      <c r="B4" s="2"/>
      <c r="C4" s="2"/>
      <c r="D4" s="24"/>
      <c r="E4" s="22"/>
      <c r="F4" s="22"/>
      <c r="G4" s="22"/>
      <c r="H4" s="22"/>
      <c r="I4" s="22"/>
      <c r="J4" s="20"/>
      <c r="K4" s="21">
        <v>4</v>
      </c>
      <c r="L4" s="20"/>
      <c r="M4" s="20"/>
      <c r="N4" s="20"/>
      <c r="O4" s="20"/>
      <c r="P4" s="20"/>
      <c r="Q4" s="20"/>
      <c r="R4" s="20"/>
      <c r="S4" s="20"/>
      <c r="T4" s="20"/>
      <c r="U4" s="20"/>
    </row>
    <row r="5" spans="1:21" ht="15.75" customHeight="1">
      <c r="A5" s="25" t="s">
        <v>20</v>
      </c>
      <c r="B5" s="123" t="s">
        <v>40</v>
      </c>
      <c r="C5" s="115"/>
      <c r="D5" s="115"/>
      <c r="E5" s="115"/>
      <c r="F5" s="115"/>
      <c r="G5" s="115"/>
      <c r="H5" s="115"/>
      <c r="I5" s="115"/>
      <c r="J5" s="20"/>
      <c r="K5" s="21"/>
      <c r="L5" s="20"/>
      <c r="M5" s="20"/>
      <c r="N5" s="20"/>
      <c r="O5" s="20"/>
      <c r="P5" s="20"/>
      <c r="Q5" s="20"/>
      <c r="R5" s="20"/>
      <c r="S5" s="20"/>
      <c r="T5" s="20"/>
      <c r="U5" s="20"/>
    </row>
    <row r="6" spans="1:21" ht="15.75" customHeight="1">
      <c r="A6" s="25"/>
      <c r="B6" s="123" t="s">
        <v>43</v>
      </c>
      <c r="C6" s="115"/>
      <c r="D6" s="115"/>
      <c r="E6" s="115"/>
      <c r="F6" s="115"/>
      <c r="G6" s="115"/>
      <c r="H6" s="115"/>
      <c r="I6" s="115"/>
      <c r="J6" s="20"/>
      <c r="K6" s="26"/>
      <c r="L6" s="20"/>
      <c r="M6" s="20"/>
      <c r="N6" s="20"/>
      <c r="O6" s="20"/>
      <c r="P6" s="20"/>
      <c r="Q6" s="20"/>
      <c r="R6" s="20"/>
      <c r="S6" s="20"/>
      <c r="T6" s="20"/>
      <c r="U6" s="20"/>
    </row>
    <row r="7" spans="1:21" ht="15.75" customHeight="1">
      <c r="A7" s="25" t="s">
        <v>45</v>
      </c>
      <c r="B7" s="125" t="s">
        <v>46</v>
      </c>
      <c r="C7" s="115"/>
      <c r="D7" s="115"/>
      <c r="E7" s="115"/>
      <c r="F7" s="115"/>
      <c r="G7" s="115"/>
      <c r="H7" s="115"/>
      <c r="I7" s="115"/>
      <c r="J7" s="20"/>
      <c r="K7" s="26"/>
      <c r="L7" s="20"/>
      <c r="M7" s="20"/>
      <c r="N7" s="20"/>
      <c r="O7" s="20"/>
      <c r="P7" s="20"/>
      <c r="Q7" s="20"/>
      <c r="R7" s="20"/>
      <c r="S7" s="20"/>
      <c r="T7" s="20"/>
      <c r="U7" s="20"/>
    </row>
    <row r="8" spans="1:21" ht="15.75" customHeight="1">
      <c r="A8" s="25" t="s">
        <v>48</v>
      </c>
      <c r="B8" s="123" t="s">
        <v>49</v>
      </c>
      <c r="C8" s="115"/>
      <c r="D8" s="115"/>
      <c r="E8" s="115"/>
      <c r="F8" s="115"/>
      <c r="G8" s="115"/>
      <c r="H8" s="115"/>
      <c r="I8" s="115"/>
      <c r="J8" s="20"/>
      <c r="K8" s="20"/>
      <c r="L8" s="20"/>
      <c r="M8" s="20"/>
      <c r="N8" s="20"/>
      <c r="O8" s="20"/>
      <c r="P8" s="20"/>
      <c r="Q8" s="20"/>
      <c r="R8" s="20"/>
      <c r="S8" s="20"/>
      <c r="T8" s="20"/>
      <c r="U8" s="20"/>
    </row>
    <row r="9" spans="1:21" ht="14.25" customHeight="1">
      <c r="A9" s="2"/>
      <c r="B9" s="2"/>
      <c r="C9" s="2"/>
      <c r="D9" s="2"/>
      <c r="E9" s="2"/>
      <c r="F9" s="2"/>
      <c r="G9" s="2"/>
      <c r="H9" s="2"/>
      <c r="I9" s="2"/>
      <c r="J9" s="20"/>
      <c r="K9" s="20"/>
      <c r="L9" s="20"/>
      <c r="M9" s="20"/>
      <c r="N9" s="20"/>
      <c r="O9" s="20"/>
      <c r="P9" s="20"/>
      <c r="Q9" s="20"/>
      <c r="R9" s="20"/>
      <c r="S9" s="20"/>
      <c r="T9" s="20"/>
      <c r="U9" s="20"/>
    </row>
    <row r="10" spans="1:21" ht="14.25" customHeight="1">
      <c r="A10" s="27" t="s">
        <v>51</v>
      </c>
      <c r="B10" s="113" t="s">
        <v>126</v>
      </c>
      <c r="C10" s="2"/>
      <c r="D10" s="2"/>
      <c r="E10" s="2"/>
      <c r="F10" s="2"/>
      <c r="G10" s="2"/>
      <c r="H10" s="2"/>
      <c r="I10" s="2"/>
      <c r="J10" s="20"/>
      <c r="K10" s="20"/>
      <c r="L10" s="20"/>
      <c r="M10" s="20"/>
      <c r="N10" s="20"/>
      <c r="O10" s="20"/>
      <c r="P10" s="20"/>
      <c r="Q10" s="20"/>
      <c r="R10" s="20"/>
      <c r="S10" s="20"/>
      <c r="T10" s="20"/>
      <c r="U10" s="20"/>
    </row>
    <row r="11" spans="1:21" ht="14.25" customHeight="1">
      <c r="A11" s="27" t="s">
        <v>52</v>
      </c>
      <c r="B11" s="28">
        <v>1</v>
      </c>
      <c r="C11" s="2"/>
      <c r="D11" s="2"/>
      <c r="E11" s="2"/>
      <c r="F11" s="2"/>
      <c r="G11" s="2"/>
      <c r="H11" s="2"/>
      <c r="I11" s="2"/>
      <c r="J11" s="20"/>
      <c r="K11" s="20"/>
      <c r="L11" s="20"/>
      <c r="M11" s="20"/>
      <c r="N11" s="20"/>
      <c r="O11" s="20"/>
      <c r="P11" s="20"/>
      <c r="Q11" s="20"/>
      <c r="R11" s="20"/>
      <c r="S11" s="20"/>
      <c r="T11" s="20"/>
      <c r="U11" s="20"/>
    </row>
    <row r="12" spans="1:21" ht="14.4">
      <c r="A12" s="2"/>
      <c r="B12" s="2"/>
      <c r="C12" s="122" t="str">
        <f>IF(AND(B11=1,B13&lt;0.15),"WARNING - Borrower needs more down payment!                              Minimum Down Payment on SFR is 15%", IF(AND(B11&gt;=2,B13&lt;0.25),"WARNING - Borrower needs more down payment!                              Minimum Down Payment on Multi-Unit is 25%.", " "))</f>
        <v xml:space="preserve"> </v>
      </c>
      <c r="D12" s="118"/>
      <c r="E12" s="118"/>
      <c r="F12" s="118"/>
      <c r="G12" s="118"/>
      <c r="H12" s="118"/>
      <c r="I12" s="118"/>
      <c r="J12" s="20"/>
      <c r="K12" s="20"/>
      <c r="L12" s="20"/>
      <c r="M12" s="20"/>
      <c r="N12" s="20"/>
      <c r="O12" s="20"/>
      <c r="P12" s="20"/>
      <c r="Q12" s="20"/>
      <c r="R12" s="20"/>
      <c r="S12" s="20"/>
      <c r="T12" s="20"/>
      <c r="U12" s="20"/>
    </row>
    <row r="13" spans="1:21" ht="14.4">
      <c r="A13" s="27" t="s">
        <v>53</v>
      </c>
      <c r="B13" s="64">
        <v>0.25</v>
      </c>
      <c r="C13" s="119"/>
      <c r="D13" s="120"/>
      <c r="E13" s="120"/>
      <c r="F13" s="120"/>
      <c r="G13" s="120"/>
      <c r="H13" s="120"/>
      <c r="I13" s="120"/>
      <c r="J13" s="20"/>
      <c r="K13" s="20"/>
      <c r="L13" s="20"/>
      <c r="M13" s="20"/>
      <c r="N13" s="20"/>
      <c r="O13" s="20"/>
      <c r="P13" s="20"/>
      <c r="Q13" s="20"/>
      <c r="R13" s="20"/>
      <c r="S13" s="20"/>
      <c r="T13" s="20"/>
      <c r="U13" s="20"/>
    </row>
    <row r="14" spans="1:21" ht="14.4">
      <c r="A14" s="2"/>
      <c r="B14" s="2"/>
      <c r="C14" s="119"/>
      <c r="D14" s="120"/>
      <c r="E14" s="120"/>
      <c r="F14" s="120"/>
      <c r="G14" s="120"/>
      <c r="H14" s="120"/>
      <c r="I14" s="120"/>
      <c r="J14" s="20"/>
      <c r="K14" s="20"/>
      <c r="L14" s="20"/>
      <c r="M14" s="20"/>
      <c r="N14" s="20"/>
      <c r="O14" s="20"/>
      <c r="P14" s="20"/>
      <c r="Q14" s="20"/>
      <c r="R14" s="20"/>
      <c r="S14" s="20"/>
      <c r="T14" s="20"/>
      <c r="U14" s="20"/>
    </row>
    <row r="15" spans="1:21" ht="18" customHeight="1">
      <c r="A15" s="27" t="s">
        <v>3</v>
      </c>
      <c r="B15" s="29">
        <v>270000</v>
      </c>
      <c r="C15" s="122" t="str">
        <f>IF(B19&lt;65000, "WARNING - Your borrower will need to pay cash for this property.  Minimum loan amount of $65,000", " ")</f>
        <v xml:space="preserve"> </v>
      </c>
      <c r="D15" s="118"/>
      <c r="E15" s="118"/>
      <c r="F15" s="118"/>
      <c r="G15" s="118"/>
      <c r="H15" s="118"/>
      <c r="I15" s="118"/>
      <c r="J15" s="20"/>
      <c r="K15" s="20"/>
      <c r="L15" s="20"/>
      <c r="M15" s="20"/>
      <c r="N15" s="20"/>
      <c r="O15" s="20"/>
      <c r="P15" s="20"/>
      <c r="Q15" s="20"/>
      <c r="R15" s="20"/>
      <c r="S15" s="20"/>
      <c r="T15" s="20"/>
      <c r="U15" s="20"/>
    </row>
    <row r="16" spans="1:21" ht="19.5" customHeight="1">
      <c r="A16" s="27" t="s">
        <v>54</v>
      </c>
      <c r="B16" s="30">
        <v>2000</v>
      </c>
      <c r="C16" s="119"/>
      <c r="D16" s="120"/>
      <c r="E16" s="120"/>
      <c r="F16" s="120"/>
      <c r="G16" s="120"/>
      <c r="H16" s="120"/>
      <c r="I16" s="120"/>
      <c r="J16" s="20"/>
      <c r="K16" s="20"/>
      <c r="L16" s="20"/>
      <c r="M16" s="20"/>
      <c r="N16" s="20"/>
      <c r="O16" s="20"/>
      <c r="P16" s="20"/>
      <c r="Q16" s="20"/>
      <c r="R16" s="20"/>
      <c r="S16" s="20"/>
      <c r="T16" s="20"/>
      <c r="U16" s="20"/>
    </row>
    <row r="17" spans="1:21" ht="14.25" customHeight="1">
      <c r="A17" s="27" t="s">
        <v>55</v>
      </c>
      <c r="B17" s="31">
        <f>1395+(IF(B13&lt;0.1999,(B15*(1-B13)*0.03),(IF(B13&lt;0.2499,(B15*(1-B13)*0.01),(B15*(1-B13)*0)))))</f>
        <v>1395</v>
      </c>
      <c r="C17" s="122" t="str">
        <f>IF(AND(B11=1,B19&gt;417000),"WARNING - Borrower needs more down payment! Maximum Loan Amount on SFR is $417,000", IF(AND(B11=2,B19&gt;533850),"WARNING - Borrower needs more down payment! Maximum Loan Amount on Duplex is $533,850", IF(AND(B11=3,B19&gt;645300),"WARNING - Borrower needs more down payment! Maximum Loan Amount on Tri-Plex is $645,300", IF(AND(B11=4,B19&gt;801950),"WARNING - Borrower needs more down payment! Maximum Loan Amount on Four-Plex is $801,950", " "))))</f>
        <v xml:space="preserve"> </v>
      </c>
      <c r="D17" s="118"/>
      <c r="E17" s="118"/>
      <c r="F17" s="118"/>
      <c r="G17" s="118"/>
      <c r="H17" s="118"/>
      <c r="I17" s="2"/>
      <c r="J17" s="20"/>
      <c r="K17" s="20"/>
      <c r="L17" s="20"/>
      <c r="M17" s="20"/>
      <c r="N17" s="20"/>
      <c r="O17" s="20"/>
      <c r="P17" s="20"/>
      <c r="Q17" s="20"/>
      <c r="R17" s="20"/>
      <c r="S17" s="20"/>
      <c r="T17" s="20"/>
      <c r="U17" s="20"/>
    </row>
    <row r="18" spans="1:21" ht="15.75" customHeight="1">
      <c r="A18" s="27" t="s">
        <v>59</v>
      </c>
      <c r="B18" s="31">
        <f>B13*B15</f>
        <v>67500</v>
      </c>
      <c r="C18" s="119"/>
      <c r="D18" s="120"/>
      <c r="E18" s="120"/>
      <c r="F18" s="120"/>
      <c r="G18" s="120"/>
      <c r="H18" s="120"/>
      <c r="I18" s="2"/>
      <c r="J18" s="20"/>
      <c r="K18" s="20"/>
      <c r="L18" s="20"/>
      <c r="M18" s="20"/>
      <c r="N18" s="20"/>
      <c r="O18" s="20"/>
      <c r="P18" s="20"/>
      <c r="Q18" s="20"/>
      <c r="R18" s="20"/>
      <c r="S18" s="20"/>
      <c r="T18" s="20"/>
      <c r="U18" s="20"/>
    </row>
    <row r="19" spans="1:21" ht="14.4">
      <c r="A19" s="27" t="s">
        <v>61</v>
      </c>
      <c r="B19" s="34">
        <f>B15-B18</f>
        <v>202500</v>
      </c>
      <c r="C19" s="119"/>
      <c r="D19" s="120"/>
      <c r="E19" s="120"/>
      <c r="F19" s="120"/>
      <c r="G19" s="120"/>
      <c r="H19" s="120"/>
      <c r="I19" s="2"/>
      <c r="J19" s="20"/>
      <c r="K19" s="20"/>
      <c r="L19" s="20"/>
      <c r="M19" s="20"/>
      <c r="N19" s="20"/>
      <c r="O19" s="20"/>
      <c r="P19" s="20"/>
      <c r="Q19" s="20"/>
      <c r="R19" s="20"/>
      <c r="S19" s="20"/>
      <c r="T19" s="20"/>
      <c r="U19" s="20"/>
    </row>
    <row r="20" spans="1:21" ht="14.25" hidden="1" customHeight="1">
      <c r="A20" s="27" t="s">
        <v>62</v>
      </c>
      <c r="B20" s="34">
        <f>SUM(B16:B18)</f>
        <v>70895</v>
      </c>
      <c r="C20" s="2"/>
      <c r="D20" s="2"/>
      <c r="E20" s="2"/>
      <c r="F20" s="2"/>
      <c r="G20" s="2"/>
      <c r="H20" s="2"/>
      <c r="I20" s="2"/>
      <c r="J20" s="20"/>
      <c r="K20" s="20"/>
      <c r="L20" s="20"/>
      <c r="M20" s="20"/>
      <c r="N20" s="20"/>
      <c r="O20" s="20"/>
      <c r="P20" s="20"/>
      <c r="Q20" s="20"/>
      <c r="R20" s="20"/>
      <c r="S20" s="20"/>
      <c r="T20" s="20"/>
      <c r="U20" s="20"/>
    </row>
    <row r="21" spans="1:21" ht="14.25" customHeight="1">
      <c r="A21" s="27" t="s">
        <v>63</v>
      </c>
      <c r="B21" s="38">
        <v>1000</v>
      </c>
      <c r="C21" s="2"/>
      <c r="D21" s="2"/>
      <c r="E21" s="2"/>
      <c r="F21" s="2"/>
      <c r="G21" s="2"/>
      <c r="H21" s="2"/>
      <c r="I21" s="2"/>
      <c r="J21" s="20"/>
      <c r="K21" s="20"/>
      <c r="L21" s="20"/>
      <c r="M21" s="20"/>
      <c r="N21" s="20"/>
      <c r="O21" s="20"/>
      <c r="P21" s="20"/>
      <c r="Q21" s="20"/>
      <c r="R21" s="20"/>
      <c r="S21" s="20"/>
      <c r="T21" s="20"/>
      <c r="U21" s="20"/>
    </row>
    <row r="22" spans="1:21" ht="14.25" customHeight="1">
      <c r="A22" s="27" t="s">
        <v>66</v>
      </c>
      <c r="B22" s="34">
        <f>B20+B21</f>
        <v>71895</v>
      </c>
      <c r="C22" s="2"/>
      <c r="D22" s="2"/>
      <c r="E22" s="2"/>
      <c r="F22" s="2"/>
      <c r="G22" s="2"/>
      <c r="H22" s="2"/>
      <c r="I22" s="2"/>
      <c r="J22" s="20"/>
      <c r="K22" s="20"/>
      <c r="L22" s="20"/>
      <c r="M22" s="20"/>
      <c r="N22" s="20"/>
      <c r="O22" s="20"/>
      <c r="P22" s="20"/>
      <c r="Q22" s="20"/>
      <c r="R22" s="20"/>
      <c r="S22" s="20"/>
      <c r="T22" s="20"/>
      <c r="U22" s="20"/>
    </row>
    <row r="23" spans="1:21" ht="14.25" customHeight="1">
      <c r="A23" s="2"/>
      <c r="B23" s="2"/>
      <c r="C23" s="2"/>
      <c r="D23" s="2"/>
      <c r="E23" s="2"/>
      <c r="F23" s="2"/>
      <c r="G23" s="2"/>
      <c r="H23" s="2"/>
      <c r="I23" s="2"/>
      <c r="J23" s="20"/>
      <c r="K23" s="20"/>
      <c r="L23" s="20"/>
      <c r="M23" s="20"/>
      <c r="N23" s="20"/>
      <c r="O23" s="20"/>
      <c r="P23" s="20"/>
      <c r="Q23" s="20"/>
      <c r="R23" s="20"/>
      <c r="S23" s="20"/>
      <c r="T23" s="20"/>
      <c r="U23" s="20"/>
    </row>
    <row r="24" spans="1:21" ht="14.25" customHeight="1">
      <c r="A24" s="27" t="s">
        <v>68</v>
      </c>
      <c r="B24" s="41">
        <v>4.7500000000000001E-2</v>
      </c>
      <c r="C24" s="2"/>
      <c r="D24" s="2"/>
      <c r="E24" s="2"/>
      <c r="F24" s="2"/>
      <c r="G24" s="2"/>
      <c r="H24" s="2"/>
      <c r="I24" s="2"/>
      <c r="J24" s="20"/>
      <c r="K24" s="20"/>
      <c r="L24" s="20"/>
      <c r="M24" s="20"/>
      <c r="N24" s="20"/>
      <c r="O24" s="20"/>
      <c r="P24" s="20"/>
      <c r="Q24" s="20"/>
      <c r="R24" s="20"/>
      <c r="S24" s="20"/>
      <c r="T24" s="20"/>
      <c r="U24" s="20"/>
    </row>
    <row r="25" spans="1:21" ht="14.25" customHeight="1">
      <c r="A25" s="27" t="s">
        <v>69</v>
      </c>
      <c r="B25" s="43">
        <v>30</v>
      </c>
      <c r="C25" s="2"/>
      <c r="D25" s="2"/>
      <c r="E25" s="2"/>
      <c r="F25" s="2"/>
      <c r="G25" s="2"/>
      <c r="H25" s="2"/>
      <c r="I25" s="2"/>
      <c r="J25" s="20"/>
      <c r="K25" s="20"/>
      <c r="L25" s="20"/>
      <c r="M25" s="20"/>
      <c r="N25" s="20"/>
      <c r="O25" s="20"/>
      <c r="P25" s="20"/>
      <c r="Q25" s="20"/>
      <c r="R25" s="20"/>
      <c r="S25" s="20"/>
      <c r="T25" s="20"/>
      <c r="U25" s="20"/>
    </row>
    <row r="26" spans="1:21" ht="14.25" customHeight="1">
      <c r="A26" s="27" t="s">
        <v>71</v>
      </c>
      <c r="B26" s="43">
        <v>0</v>
      </c>
      <c r="C26" s="2"/>
      <c r="D26" s="2"/>
      <c r="E26" s="2"/>
      <c r="F26" s="2"/>
      <c r="G26" s="2"/>
      <c r="H26" s="2"/>
      <c r="I26" s="2"/>
      <c r="J26" s="20"/>
      <c r="K26" s="20"/>
      <c r="L26" s="20"/>
      <c r="M26" s="20"/>
      <c r="N26" s="20"/>
      <c r="O26" s="20"/>
      <c r="P26" s="20"/>
      <c r="Q26" s="20"/>
      <c r="R26" s="20"/>
      <c r="S26" s="20"/>
      <c r="T26" s="20"/>
      <c r="U26" s="20"/>
    </row>
    <row r="27" spans="1:21" ht="14.25" customHeight="1">
      <c r="A27" s="2"/>
      <c r="B27" s="2"/>
      <c r="C27" s="2"/>
      <c r="D27" s="2"/>
      <c r="E27" s="2"/>
      <c r="F27" s="2"/>
      <c r="G27" s="2"/>
      <c r="H27" s="2"/>
      <c r="I27" s="2"/>
      <c r="J27" s="20"/>
      <c r="K27" s="20"/>
      <c r="L27" s="20"/>
      <c r="M27" s="20"/>
      <c r="N27" s="20"/>
      <c r="O27" s="20"/>
      <c r="P27" s="20"/>
      <c r="Q27" s="20"/>
      <c r="R27" s="20"/>
      <c r="S27" s="20"/>
      <c r="T27" s="20"/>
      <c r="U27" s="20"/>
    </row>
    <row r="28" spans="1:21" ht="14.25" customHeight="1">
      <c r="A28" s="114" t="s">
        <v>72</v>
      </c>
      <c r="B28" s="115"/>
      <c r="C28" s="2"/>
      <c r="D28" s="2"/>
      <c r="E28" s="2"/>
      <c r="F28" s="2"/>
      <c r="G28" s="2"/>
      <c r="H28" s="2"/>
      <c r="I28" s="2"/>
      <c r="J28" s="20"/>
      <c r="K28" s="20"/>
      <c r="L28" s="20"/>
      <c r="M28" s="20"/>
      <c r="N28" s="20"/>
      <c r="O28" s="20"/>
      <c r="P28" s="20"/>
      <c r="Q28" s="20"/>
      <c r="R28" s="20"/>
      <c r="S28" s="20"/>
      <c r="T28" s="20"/>
      <c r="U28" s="20"/>
    </row>
    <row r="29" spans="1:21" ht="14.25" customHeight="1">
      <c r="A29" s="24" t="s">
        <v>73</v>
      </c>
      <c r="B29" s="48">
        <v>2050</v>
      </c>
      <c r="C29" s="2"/>
      <c r="D29" s="2"/>
      <c r="E29" s="2"/>
      <c r="F29" s="2"/>
      <c r="G29" s="2"/>
      <c r="H29" s="2"/>
      <c r="I29" s="2"/>
      <c r="J29" s="20"/>
      <c r="K29" s="49"/>
      <c r="L29" s="49"/>
      <c r="M29" s="49"/>
      <c r="N29" s="49"/>
      <c r="O29" s="49"/>
      <c r="P29" s="49"/>
      <c r="Q29" s="49"/>
      <c r="R29" s="20"/>
      <c r="S29" s="49"/>
      <c r="T29" s="20"/>
      <c r="U29" s="20"/>
    </row>
    <row r="30" spans="1:21" ht="14.25" customHeight="1">
      <c r="A30" s="24" t="s">
        <v>75</v>
      </c>
      <c r="B30" s="51"/>
      <c r="C30" s="53" t="str">
        <f>IF(AND(B30&gt;0,B11&lt;2),"This rent is not included in total because you do not have 2-unit selected above.", " ")</f>
        <v xml:space="preserve"> </v>
      </c>
      <c r="D30" s="2"/>
      <c r="E30" s="2"/>
      <c r="F30" s="2"/>
      <c r="G30" s="2"/>
      <c r="H30" s="2"/>
      <c r="I30" s="2"/>
      <c r="J30" s="20"/>
      <c r="K30" s="54"/>
      <c r="L30" s="20"/>
      <c r="M30" s="20"/>
      <c r="N30" s="20"/>
      <c r="O30" s="20"/>
      <c r="P30" s="20"/>
      <c r="Q30" s="20"/>
      <c r="R30" s="20"/>
      <c r="S30" s="20"/>
      <c r="T30" s="20"/>
      <c r="U30" s="20"/>
    </row>
    <row r="31" spans="1:21" ht="14.25" customHeight="1">
      <c r="A31" s="24" t="s">
        <v>77</v>
      </c>
      <c r="B31" s="51"/>
      <c r="C31" s="53" t="str">
        <f>IF(AND(B31&gt;0,B11&lt;3),"This rent is not included in total because you do not have 3-unit selected above.", " ")</f>
        <v xml:space="preserve"> </v>
      </c>
      <c r="D31" s="2"/>
      <c r="E31" s="2"/>
      <c r="F31" s="2"/>
      <c r="G31" s="2"/>
      <c r="H31" s="2"/>
      <c r="I31" s="2"/>
      <c r="J31" s="20"/>
      <c r="K31" s="20"/>
      <c r="L31" s="20"/>
      <c r="M31" s="20"/>
      <c r="N31" s="20"/>
      <c r="O31" s="20"/>
      <c r="P31" s="20"/>
      <c r="Q31" s="20"/>
      <c r="R31" s="20"/>
      <c r="S31" s="20"/>
      <c r="T31" s="20"/>
      <c r="U31" s="20"/>
    </row>
    <row r="32" spans="1:21" ht="14.25" customHeight="1">
      <c r="A32" s="24" t="s">
        <v>78</v>
      </c>
      <c r="B32" s="51"/>
      <c r="C32" s="53" t="str">
        <f>IF(AND(B32&gt;0,B11&lt;4),"This rent is not included in total because you do not have 4-unit selected above.", " ")</f>
        <v xml:space="preserve"> </v>
      </c>
      <c r="D32" s="2"/>
      <c r="E32" s="2"/>
      <c r="F32" s="2"/>
      <c r="G32" s="2"/>
      <c r="H32" s="2"/>
      <c r="I32" s="2"/>
      <c r="J32" s="20"/>
      <c r="K32" s="20"/>
      <c r="L32" s="20"/>
      <c r="M32" s="20"/>
      <c r="N32" s="20"/>
      <c r="O32" s="20"/>
      <c r="P32" s="20"/>
      <c r="Q32" s="20"/>
      <c r="R32" s="20"/>
      <c r="S32" s="20"/>
      <c r="T32" s="20"/>
      <c r="U32" s="20"/>
    </row>
    <row r="33" spans="1:21" ht="14.25" customHeight="1">
      <c r="A33" s="23" t="s">
        <v>79</v>
      </c>
      <c r="B33" s="59">
        <f>IF(B11=1, SUM(B29), IF(B11=2, SUM(B29:B30), IF(B11=3, SUM(B29:B31), IF(B11=4, SUM(B29:B32)," "))))</f>
        <v>2050</v>
      </c>
      <c r="C33" s="2"/>
      <c r="D33" s="2"/>
      <c r="E33" s="2"/>
      <c r="F33" s="2"/>
      <c r="G33" s="2"/>
      <c r="H33" s="2"/>
      <c r="I33" s="2"/>
      <c r="J33" s="20"/>
      <c r="K33" s="20"/>
      <c r="L33" s="20"/>
      <c r="M33" s="20"/>
      <c r="N33" s="20"/>
      <c r="O33" s="20"/>
      <c r="P33" s="20"/>
      <c r="Q33" s="20"/>
      <c r="R33" s="20"/>
      <c r="S33" s="20"/>
      <c r="T33" s="20"/>
      <c r="U33" s="20"/>
    </row>
    <row r="34" spans="1:21" ht="14.25" customHeight="1">
      <c r="A34" s="23"/>
      <c r="B34" s="59"/>
      <c r="C34" s="2"/>
      <c r="D34" s="2"/>
      <c r="E34" s="2"/>
      <c r="F34" s="2"/>
      <c r="G34" s="2"/>
      <c r="H34" s="2"/>
      <c r="I34" s="2"/>
      <c r="J34" s="20"/>
      <c r="K34" s="20"/>
      <c r="L34" s="20"/>
      <c r="M34" s="20"/>
      <c r="N34" s="20"/>
      <c r="O34" s="20"/>
      <c r="P34" s="20"/>
      <c r="Q34" s="20"/>
      <c r="R34" s="20"/>
      <c r="S34" s="20"/>
      <c r="T34" s="20"/>
      <c r="U34" s="20"/>
    </row>
    <row r="35" spans="1:21" ht="14.25" customHeight="1">
      <c r="A35" s="23" t="s">
        <v>81</v>
      </c>
      <c r="B35" s="61">
        <v>0.05</v>
      </c>
      <c r="C35" s="2"/>
      <c r="D35" s="2"/>
      <c r="E35" s="2"/>
      <c r="F35" s="2"/>
      <c r="G35" s="2"/>
      <c r="H35" s="2"/>
      <c r="I35" s="2"/>
      <c r="J35" s="20"/>
      <c r="K35" s="20"/>
      <c r="L35" s="20"/>
      <c r="M35" s="20"/>
      <c r="N35" s="20"/>
      <c r="O35" s="20"/>
      <c r="P35" s="20"/>
      <c r="Q35" s="20"/>
      <c r="R35" s="20"/>
      <c r="S35" s="20"/>
      <c r="T35" s="20"/>
      <c r="U35" s="20"/>
    </row>
    <row r="36" spans="1:21" ht="14.25" customHeight="1">
      <c r="A36" s="23"/>
      <c r="B36" s="62"/>
      <c r="C36" s="2"/>
      <c r="D36" s="2"/>
      <c r="E36" s="2"/>
      <c r="F36" s="2"/>
      <c r="G36" s="2"/>
      <c r="H36" s="2"/>
      <c r="I36" s="2"/>
      <c r="J36" s="20"/>
      <c r="K36" s="20"/>
      <c r="L36" s="20"/>
      <c r="M36" s="20"/>
      <c r="N36" s="20"/>
      <c r="O36" s="20"/>
      <c r="P36" s="20"/>
      <c r="Q36" s="20"/>
      <c r="R36" s="20"/>
      <c r="S36" s="20"/>
      <c r="T36" s="20"/>
      <c r="U36" s="20"/>
    </row>
    <row r="37" spans="1:21" ht="14.25" customHeight="1">
      <c r="A37" s="23" t="s">
        <v>82</v>
      </c>
      <c r="B37" s="64">
        <v>0.05</v>
      </c>
      <c r="C37" s="2"/>
      <c r="D37" s="2"/>
      <c r="E37" s="2"/>
      <c r="F37" s="2"/>
      <c r="G37" s="2"/>
      <c r="H37" s="2"/>
      <c r="I37" s="2"/>
      <c r="J37" s="20"/>
      <c r="K37" s="20"/>
      <c r="L37" s="20"/>
      <c r="M37" s="20"/>
      <c r="N37" s="20"/>
      <c r="O37" s="20"/>
      <c r="P37" s="20"/>
      <c r="Q37" s="20"/>
      <c r="R37" s="20"/>
      <c r="S37" s="20"/>
      <c r="T37" s="20"/>
      <c r="U37" s="20"/>
    </row>
    <row r="38" spans="1:21" ht="14.4">
      <c r="A38" s="23"/>
      <c r="B38" s="2"/>
      <c r="C38" s="117" t="str">
        <f>IF(B39&gt;0.06,"REMINDER - The national average appreciation for the last 40 years is 6%", " ")</f>
        <v xml:space="preserve"> </v>
      </c>
      <c r="D38" s="118"/>
      <c r="E38" s="118"/>
      <c r="F38" s="118"/>
      <c r="G38" s="118"/>
      <c r="H38" s="118"/>
      <c r="I38" s="118"/>
      <c r="J38" s="20"/>
      <c r="K38" s="20"/>
      <c r="L38" s="20"/>
      <c r="M38" s="20"/>
      <c r="N38" s="20"/>
      <c r="O38" s="20"/>
      <c r="P38" s="20"/>
      <c r="Q38" s="20"/>
      <c r="R38" s="20"/>
      <c r="S38" s="20"/>
      <c r="T38" s="20"/>
      <c r="U38" s="20"/>
    </row>
    <row r="39" spans="1:21" ht="14.4">
      <c r="A39" s="23" t="s">
        <v>85</v>
      </c>
      <c r="B39" s="65">
        <v>0.06</v>
      </c>
      <c r="C39" s="119"/>
      <c r="D39" s="120"/>
      <c r="E39" s="120"/>
      <c r="F39" s="120"/>
      <c r="G39" s="120"/>
      <c r="H39" s="120"/>
      <c r="I39" s="120"/>
      <c r="J39" s="20"/>
      <c r="K39" s="20"/>
      <c r="L39" s="20"/>
      <c r="M39" s="20"/>
      <c r="N39" s="20"/>
      <c r="O39" s="20"/>
      <c r="P39" s="20"/>
      <c r="Q39" s="20"/>
      <c r="R39" s="20"/>
      <c r="S39" s="20"/>
      <c r="T39" s="20"/>
      <c r="U39" s="20"/>
    </row>
    <row r="40" spans="1:21" ht="14.25" customHeight="1">
      <c r="A40" s="2"/>
      <c r="B40" s="2"/>
      <c r="C40" s="2"/>
      <c r="D40" s="2"/>
      <c r="E40" s="2"/>
      <c r="F40" s="2"/>
      <c r="G40" s="2"/>
      <c r="H40" s="2"/>
      <c r="I40" s="2"/>
      <c r="J40" s="20"/>
      <c r="K40" s="20"/>
      <c r="L40" s="20"/>
      <c r="M40" s="20"/>
      <c r="N40" s="20"/>
      <c r="O40" s="20"/>
      <c r="P40" s="20"/>
      <c r="Q40" s="20"/>
      <c r="R40" s="20"/>
      <c r="S40" s="20"/>
      <c r="T40" s="20"/>
      <c r="U40" s="20"/>
    </row>
    <row r="41" spans="1:21" ht="14.25" customHeight="1">
      <c r="A41" s="114" t="s">
        <v>86</v>
      </c>
      <c r="B41" s="115"/>
      <c r="C41" s="2"/>
      <c r="D41" s="114" t="s">
        <v>87</v>
      </c>
      <c r="E41" s="115"/>
      <c r="F41" s="115"/>
      <c r="G41" s="115"/>
      <c r="H41" s="115"/>
      <c r="I41" s="2"/>
      <c r="J41" s="20"/>
      <c r="K41" s="20"/>
      <c r="L41" s="20"/>
      <c r="M41" s="20"/>
      <c r="N41" s="20"/>
      <c r="O41" s="20"/>
      <c r="P41" s="20"/>
      <c r="Q41" s="20"/>
      <c r="R41" s="20"/>
      <c r="S41" s="20"/>
      <c r="T41" s="20"/>
      <c r="U41" s="20"/>
    </row>
    <row r="42" spans="1:21" ht="14.25" customHeight="1">
      <c r="A42" s="2" t="s">
        <v>18</v>
      </c>
      <c r="B42" s="66">
        <v>1246</v>
      </c>
      <c r="C42" s="2"/>
      <c r="D42" s="116"/>
      <c r="E42" s="115"/>
      <c r="F42" s="115"/>
      <c r="G42" s="115"/>
      <c r="H42" s="115"/>
      <c r="I42" s="2"/>
      <c r="J42" s="20"/>
      <c r="K42" s="20"/>
      <c r="L42" s="20"/>
      <c r="M42" s="20"/>
      <c r="N42" s="20"/>
      <c r="O42" s="20"/>
      <c r="P42" s="20"/>
      <c r="Q42" s="20"/>
      <c r="R42" s="20"/>
      <c r="S42" s="20"/>
      <c r="T42" s="20"/>
      <c r="U42" s="20"/>
    </row>
    <row r="43" spans="1:21" ht="14.25" customHeight="1">
      <c r="A43" s="2" t="s">
        <v>27</v>
      </c>
      <c r="B43" s="67">
        <v>300</v>
      </c>
      <c r="C43" s="2"/>
      <c r="D43" s="116"/>
      <c r="E43" s="115"/>
      <c r="F43" s="115"/>
      <c r="G43" s="115"/>
      <c r="H43" s="115"/>
      <c r="I43" s="2"/>
      <c r="J43" s="20"/>
      <c r="K43" s="20"/>
      <c r="L43" s="20"/>
      <c r="M43" s="20"/>
      <c r="N43" s="20"/>
      <c r="O43" s="20"/>
      <c r="P43" s="20"/>
      <c r="Q43" s="20"/>
      <c r="R43" s="20"/>
      <c r="S43" s="20"/>
      <c r="T43" s="20"/>
      <c r="U43" s="20"/>
    </row>
    <row r="44" spans="1:21" ht="14.25" customHeight="1">
      <c r="A44" s="2" t="s">
        <v>38</v>
      </c>
      <c r="B44" s="68">
        <v>0</v>
      </c>
      <c r="C44" s="2"/>
      <c r="D44" s="116" t="s">
        <v>88</v>
      </c>
      <c r="E44" s="115"/>
      <c r="F44" s="115"/>
      <c r="G44" s="115"/>
      <c r="H44" s="115"/>
      <c r="I44" s="2"/>
      <c r="J44" s="20"/>
      <c r="K44" s="20"/>
      <c r="L44" s="20"/>
      <c r="M44" s="20"/>
      <c r="N44" s="20"/>
      <c r="O44" s="20"/>
      <c r="P44" s="20"/>
      <c r="Q44" s="20"/>
      <c r="R44" s="20"/>
      <c r="S44" s="20"/>
      <c r="T44" s="20"/>
      <c r="U44" s="20"/>
    </row>
    <row r="45" spans="1:21" ht="14.25" customHeight="1">
      <c r="A45" s="2" t="s">
        <v>39</v>
      </c>
      <c r="B45" s="69">
        <v>1230</v>
      </c>
      <c r="C45" s="2"/>
      <c r="D45" s="116" t="s">
        <v>89</v>
      </c>
      <c r="E45" s="115"/>
      <c r="F45" s="115"/>
      <c r="G45" s="115"/>
      <c r="H45" s="115"/>
      <c r="I45" s="2"/>
      <c r="J45" s="20"/>
      <c r="K45" s="20"/>
      <c r="L45" s="20"/>
      <c r="M45" s="20"/>
      <c r="N45" s="20"/>
      <c r="O45" s="20"/>
      <c r="P45" s="20"/>
      <c r="Q45" s="20"/>
      <c r="R45" s="20"/>
      <c r="S45" s="20"/>
      <c r="T45" s="20"/>
      <c r="U45" s="20"/>
    </row>
    <row r="46" spans="1:21" ht="14.25" customHeight="1">
      <c r="A46" s="2" t="s">
        <v>41</v>
      </c>
      <c r="B46" s="67"/>
      <c r="C46" s="2"/>
      <c r="D46" s="116"/>
      <c r="E46" s="115"/>
      <c r="F46" s="115"/>
      <c r="G46" s="115"/>
      <c r="H46" s="115"/>
      <c r="I46" s="2"/>
      <c r="J46" s="20"/>
      <c r="K46" s="20"/>
      <c r="L46" s="20"/>
      <c r="M46" s="20"/>
      <c r="N46" s="20"/>
      <c r="O46" s="20"/>
      <c r="P46" s="20"/>
      <c r="Q46" s="20"/>
      <c r="R46" s="20"/>
      <c r="S46" s="20"/>
      <c r="T46" s="20"/>
      <c r="U46" s="20"/>
    </row>
    <row r="47" spans="1:21" ht="14.25" customHeight="1">
      <c r="A47" s="2" t="s">
        <v>90</v>
      </c>
      <c r="B47" s="67"/>
      <c r="C47" s="2"/>
      <c r="D47" s="116"/>
      <c r="E47" s="115"/>
      <c r="F47" s="115"/>
      <c r="G47" s="115"/>
      <c r="H47" s="115"/>
      <c r="I47" s="2"/>
      <c r="J47" s="20"/>
      <c r="K47" s="20"/>
      <c r="L47" s="20"/>
      <c r="M47" s="20"/>
      <c r="N47" s="20"/>
      <c r="O47" s="20"/>
      <c r="P47" s="20"/>
      <c r="Q47" s="20"/>
      <c r="R47" s="20"/>
      <c r="S47" s="20"/>
      <c r="T47" s="20"/>
      <c r="U47" s="20"/>
    </row>
    <row r="48" spans="1:21" ht="14.25" customHeight="1">
      <c r="A48" s="2" t="s">
        <v>91</v>
      </c>
      <c r="B48" s="67"/>
      <c r="C48" s="2"/>
      <c r="D48" s="116"/>
      <c r="E48" s="115"/>
      <c r="F48" s="115"/>
      <c r="G48" s="115"/>
      <c r="H48" s="115"/>
      <c r="I48" s="2"/>
      <c r="J48" s="20"/>
      <c r="K48" s="20"/>
      <c r="L48" s="20"/>
      <c r="M48" s="20"/>
      <c r="N48" s="20"/>
      <c r="O48" s="20"/>
      <c r="P48" s="20"/>
      <c r="Q48" s="20"/>
      <c r="R48" s="20"/>
      <c r="S48" s="20"/>
      <c r="T48" s="20"/>
      <c r="U48" s="20"/>
    </row>
    <row r="49" spans="1:21" ht="14.25" customHeight="1">
      <c r="A49" s="2" t="s">
        <v>92</v>
      </c>
      <c r="B49" s="67"/>
      <c r="C49" s="2"/>
      <c r="D49" s="116"/>
      <c r="E49" s="115"/>
      <c r="F49" s="115"/>
      <c r="G49" s="115"/>
      <c r="H49" s="115"/>
      <c r="I49" s="2"/>
      <c r="J49" s="20"/>
      <c r="K49" s="20"/>
      <c r="L49" s="20"/>
      <c r="M49" s="20"/>
      <c r="N49" s="20"/>
      <c r="O49" s="20"/>
      <c r="P49" s="20"/>
      <c r="Q49" s="20"/>
      <c r="R49" s="20"/>
      <c r="S49" s="20"/>
      <c r="T49" s="20"/>
      <c r="U49" s="20"/>
    </row>
    <row r="50" spans="1:21" ht="14.25" customHeight="1">
      <c r="A50" s="2" t="s">
        <v>50</v>
      </c>
      <c r="B50" s="67"/>
      <c r="C50" s="2"/>
      <c r="D50" s="116"/>
      <c r="E50" s="115"/>
      <c r="F50" s="115"/>
      <c r="G50" s="115"/>
      <c r="H50" s="115"/>
      <c r="I50" s="2"/>
      <c r="J50" s="20"/>
      <c r="K50" s="20"/>
      <c r="L50" s="20"/>
      <c r="M50" s="20"/>
      <c r="N50" s="20"/>
      <c r="O50" s="20"/>
      <c r="P50" s="20"/>
      <c r="Q50" s="20"/>
      <c r="R50" s="20"/>
      <c r="S50" s="20"/>
      <c r="T50" s="20"/>
      <c r="U50" s="20"/>
    </row>
    <row r="51" spans="1:21" ht="14.25" customHeight="1">
      <c r="A51" s="70" t="s">
        <v>93</v>
      </c>
      <c r="B51" s="66">
        <v>1680</v>
      </c>
      <c r="C51" s="2"/>
      <c r="D51" s="116"/>
      <c r="E51" s="115"/>
      <c r="F51" s="115"/>
      <c r="G51" s="115"/>
      <c r="H51" s="115"/>
      <c r="I51" s="2"/>
      <c r="J51" s="20"/>
      <c r="K51" s="20"/>
      <c r="L51" s="20"/>
      <c r="M51" s="20"/>
      <c r="N51" s="20"/>
      <c r="O51" s="20"/>
      <c r="P51" s="20"/>
      <c r="Q51" s="20"/>
      <c r="R51" s="20"/>
      <c r="S51" s="20"/>
      <c r="T51" s="20"/>
      <c r="U51" s="20"/>
    </row>
    <row r="52" spans="1:21" ht="14.25" customHeight="1">
      <c r="A52" s="67" t="s">
        <v>94</v>
      </c>
      <c r="B52" s="67"/>
      <c r="C52" s="2"/>
      <c r="D52" s="116"/>
      <c r="E52" s="115"/>
      <c r="F52" s="115"/>
      <c r="G52" s="115"/>
      <c r="H52" s="115"/>
      <c r="I52" s="2"/>
      <c r="J52" s="20"/>
      <c r="K52" s="20"/>
      <c r="L52" s="20"/>
      <c r="M52" s="20"/>
      <c r="N52" s="20"/>
      <c r="O52" s="20"/>
      <c r="P52" s="20"/>
      <c r="Q52" s="20"/>
      <c r="R52" s="20"/>
      <c r="S52" s="20"/>
      <c r="T52" s="20"/>
      <c r="U52" s="20"/>
    </row>
    <row r="53" spans="1:21" ht="14.25" customHeight="1">
      <c r="A53" s="67" t="s">
        <v>94</v>
      </c>
      <c r="B53" s="67"/>
      <c r="C53" s="2"/>
      <c r="D53" s="116"/>
      <c r="E53" s="115"/>
      <c r="F53" s="115"/>
      <c r="G53" s="115"/>
      <c r="H53" s="115"/>
      <c r="I53" s="2"/>
      <c r="J53" s="20"/>
      <c r="K53" s="20"/>
      <c r="L53" s="20"/>
      <c r="M53" s="20"/>
      <c r="N53" s="20"/>
      <c r="O53" s="20"/>
      <c r="P53" s="20"/>
      <c r="Q53" s="20"/>
      <c r="R53" s="20"/>
      <c r="S53" s="20"/>
      <c r="T53" s="20"/>
      <c r="U53" s="20"/>
    </row>
    <row r="54" spans="1:21" ht="14.25" customHeight="1">
      <c r="A54" s="67" t="s">
        <v>94</v>
      </c>
      <c r="B54" s="67"/>
      <c r="C54" s="2"/>
      <c r="D54" s="116"/>
      <c r="E54" s="115"/>
      <c r="F54" s="115"/>
      <c r="G54" s="115"/>
      <c r="H54" s="115"/>
      <c r="I54" s="2"/>
      <c r="J54" s="20"/>
      <c r="K54" s="20"/>
      <c r="L54" s="20"/>
      <c r="M54" s="20"/>
      <c r="N54" s="20"/>
      <c r="O54" s="20"/>
      <c r="P54" s="20"/>
      <c r="Q54" s="20"/>
      <c r="R54" s="20"/>
      <c r="S54" s="20"/>
      <c r="T54" s="20"/>
      <c r="U54" s="20"/>
    </row>
    <row r="55" spans="1:21" ht="14.25" customHeight="1">
      <c r="A55" s="67" t="s">
        <v>94</v>
      </c>
      <c r="B55" s="67"/>
      <c r="C55" s="2"/>
      <c r="D55" s="116"/>
      <c r="E55" s="115"/>
      <c r="F55" s="115"/>
      <c r="G55" s="115"/>
      <c r="H55" s="115"/>
      <c r="I55" s="2"/>
      <c r="J55" s="20"/>
      <c r="K55" s="20"/>
      <c r="L55" s="20"/>
      <c r="M55" s="20"/>
      <c r="N55" s="20"/>
      <c r="O55" s="20"/>
      <c r="P55" s="20"/>
      <c r="Q55" s="20"/>
      <c r="R55" s="20"/>
      <c r="S55" s="20"/>
      <c r="T55" s="20"/>
      <c r="U55" s="20"/>
    </row>
    <row r="56" spans="1:21" ht="14.25" customHeight="1">
      <c r="A56" s="67" t="s">
        <v>94</v>
      </c>
      <c r="B56" s="67"/>
      <c r="C56" s="2"/>
      <c r="D56" s="116"/>
      <c r="E56" s="115"/>
      <c r="F56" s="115"/>
      <c r="G56" s="115"/>
      <c r="H56" s="115"/>
      <c r="I56" s="2"/>
      <c r="J56" s="20"/>
      <c r="K56" s="20"/>
      <c r="L56" s="20"/>
      <c r="M56" s="20"/>
      <c r="N56" s="20"/>
      <c r="O56" s="20"/>
      <c r="P56" s="20"/>
      <c r="Q56" s="20"/>
      <c r="R56" s="20"/>
      <c r="S56" s="20"/>
      <c r="T56" s="20"/>
      <c r="U56" s="20"/>
    </row>
    <row r="57" spans="1:21" ht="14.25" customHeight="1">
      <c r="A57" s="2"/>
      <c r="B57" s="2"/>
      <c r="C57" s="2"/>
      <c r="D57" s="2"/>
      <c r="E57" s="2"/>
      <c r="F57" s="2"/>
      <c r="G57" s="2"/>
      <c r="H57" s="2"/>
      <c r="I57" s="2"/>
      <c r="J57" s="20"/>
      <c r="K57" s="20"/>
      <c r="L57" s="20"/>
      <c r="M57" s="20"/>
      <c r="N57" s="20"/>
      <c r="O57" s="20"/>
      <c r="P57" s="20"/>
      <c r="Q57" s="20"/>
      <c r="R57" s="20"/>
      <c r="S57" s="20"/>
      <c r="T57" s="20"/>
      <c r="U57" s="20"/>
    </row>
    <row r="58" spans="1:21" ht="14.25" customHeight="1">
      <c r="A58" s="2"/>
      <c r="B58" s="2"/>
      <c r="C58" s="2"/>
      <c r="D58" s="2"/>
      <c r="E58" s="2"/>
      <c r="F58" s="2"/>
      <c r="G58" s="2"/>
      <c r="H58" s="2"/>
      <c r="I58" s="2"/>
      <c r="J58" s="20"/>
      <c r="K58" s="20"/>
      <c r="L58" s="20"/>
      <c r="M58" s="20"/>
      <c r="N58" s="20"/>
      <c r="O58" s="20"/>
      <c r="P58" s="20"/>
      <c r="Q58" s="20"/>
      <c r="R58" s="20"/>
      <c r="S58" s="20"/>
      <c r="T58" s="20"/>
      <c r="U58" s="20"/>
    </row>
    <row r="59" spans="1:21" ht="14.25" customHeight="1">
      <c r="A59" s="27" t="s">
        <v>95</v>
      </c>
      <c r="B59" s="2"/>
      <c r="C59" s="2"/>
      <c r="D59" s="2"/>
      <c r="E59" s="2"/>
      <c r="F59" s="2"/>
      <c r="G59" s="2"/>
      <c r="H59" s="2"/>
      <c r="I59" s="2"/>
      <c r="J59" s="20"/>
      <c r="K59" s="20"/>
      <c r="L59" s="20"/>
      <c r="M59" s="20"/>
      <c r="N59" s="20"/>
      <c r="O59" s="20"/>
      <c r="P59" s="20"/>
      <c r="Q59" s="20"/>
      <c r="R59" s="20"/>
      <c r="S59" s="20"/>
      <c r="T59" s="20"/>
      <c r="U59" s="20"/>
    </row>
    <row r="60" spans="1:21" ht="14.25" customHeight="1">
      <c r="A60" s="2" t="s">
        <v>96</v>
      </c>
      <c r="B60" s="2"/>
      <c r="C60" s="2"/>
      <c r="D60" s="2"/>
      <c r="E60" s="71">
        <v>0.05</v>
      </c>
      <c r="F60" s="2"/>
      <c r="G60" s="2"/>
      <c r="H60" s="2"/>
      <c r="I60" s="2"/>
      <c r="J60" s="20"/>
      <c r="K60" s="20"/>
      <c r="L60" s="20"/>
      <c r="M60" s="20"/>
      <c r="N60" s="20"/>
      <c r="O60" s="20"/>
      <c r="P60" s="20"/>
      <c r="Q60" s="20"/>
      <c r="R60" s="20"/>
      <c r="S60" s="20"/>
      <c r="T60" s="20"/>
      <c r="U60" s="20"/>
    </row>
    <row r="61" spans="1:21" ht="14.25" customHeight="1">
      <c r="A61" s="2" t="s">
        <v>97</v>
      </c>
      <c r="B61" s="2"/>
      <c r="C61" s="2"/>
      <c r="D61" s="2"/>
      <c r="E61" s="71">
        <v>0.05</v>
      </c>
      <c r="F61" s="2"/>
      <c r="G61" s="2"/>
      <c r="H61" s="2"/>
      <c r="I61" s="2"/>
      <c r="J61" s="20"/>
      <c r="K61" s="20"/>
      <c r="L61" s="20"/>
      <c r="M61" s="20"/>
      <c r="N61" s="20"/>
      <c r="O61" s="20"/>
      <c r="P61" s="20"/>
      <c r="Q61" s="20"/>
      <c r="R61" s="20"/>
      <c r="S61" s="20"/>
      <c r="T61" s="20"/>
      <c r="U61" s="20"/>
    </row>
    <row r="62" spans="1:21" ht="14.25" customHeight="1">
      <c r="A62" s="2" t="s">
        <v>98</v>
      </c>
      <c r="B62" s="2"/>
      <c r="C62" s="2"/>
      <c r="D62" s="2"/>
      <c r="E62" s="71">
        <v>0.05</v>
      </c>
      <c r="F62" s="2"/>
      <c r="G62" s="2"/>
      <c r="H62" s="2"/>
      <c r="I62" s="2"/>
      <c r="J62" s="20"/>
      <c r="K62" s="20"/>
      <c r="L62" s="20"/>
      <c r="M62" s="20"/>
      <c r="N62" s="20"/>
      <c r="O62" s="20"/>
      <c r="P62" s="20"/>
      <c r="Q62" s="20"/>
      <c r="R62" s="20"/>
      <c r="S62" s="20"/>
      <c r="T62" s="20"/>
      <c r="U62" s="20"/>
    </row>
    <row r="63" spans="1:21" ht="14.25" customHeight="1">
      <c r="A63" s="2"/>
      <c r="B63" s="2"/>
      <c r="C63" s="2"/>
      <c r="D63" s="2"/>
      <c r="E63" s="2"/>
      <c r="F63" s="2"/>
      <c r="G63" s="2"/>
      <c r="H63" s="2"/>
      <c r="I63" s="2"/>
      <c r="J63" s="20"/>
      <c r="K63" s="20"/>
      <c r="L63" s="20"/>
      <c r="M63" s="20"/>
      <c r="N63" s="20"/>
      <c r="O63" s="20"/>
      <c r="P63" s="20"/>
      <c r="Q63" s="20"/>
      <c r="R63" s="20"/>
      <c r="S63" s="20"/>
      <c r="T63" s="20"/>
      <c r="U63" s="20"/>
    </row>
    <row r="64" spans="1:21" ht="14.25" customHeight="1">
      <c r="A64" s="2"/>
      <c r="B64" s="2"/>
      <c r="C64" s="2"/>
      <c r="D64" s="2"/>
      <c r="E64" s="2"/>
      <c r="F64" s="2"/>
      <c r="G64" s="2"/>
      <c r="H64" s="2"/>
      <c r="I64" s="2"/>
      <c r="J64" s="20"/>
      <c r="K64" s="20"/>
      <c r="L64" s="20"/>
      <c r="M64" s="20"/>
      <c r="N64" s="20"/>
      <c r="O64" s="20"/>
      <c r="P64" s="20"/>
      <c r="Q64" s="20"/>
      <c r="R64" s="20"/>
      <c r="S64" s="20"/>
      <c r="T64" s="20"/>
      <c r="U64" s="20"/>
    </row>
    <row r="65" spans="1:21" ht="14.25" customHeight="1">
      <c r="A65" s="2"/>
      <c r="B65" s="2"/>
      <c r="C65" s="2"/>
      <c r="D65" s="2"/>
      <c r="E65" s="2"/>
      <c r="F65" s="2"/>
      <c r="G65" s="2"/>
      <c r="H65" s="2"/>
      <c r="I65" s="2"/>
      <c r="J65" s="20"/>
      <c r="K65" s="20"/>
      <c r="L65" s="20"/>
      <c r="M65" s="20"/>
      <c r="N65" s="20"/>
      <c r="O65" s="20"/>
      <c r="P65" s="20"/>
      <c r="Q65" s="20"/>
      <c r="R65" s="20"/>
      <c r="S65" s="20"/>
      <c r="T65" s="20"/>
      <c r="U65" s="20"/>
    </row>
    <row r="66" spans="1:21" ht="14.25" customHeight="1">
      <c r="A66" s="2"/>
      <c r="B66" s="2"/>
      <c r="C66" s="2"/>
      <c r="D66" s="2"/>
      <c r="E66" s="2"/>
      <c r="F66" s="2"/>
      <c r="G66" s="2"/>
      <c r="H66" s="2"/>
      <c r="I66" s="2"/>
      <c r="J66" s="20"/>
      <c r="K66" s="20"/>
      <c r="L66" s="20"/>
      <c r="M66" s="20"/>
      <c r="N66" s="20"/>
      <c r="O66" s="20"/>
      <c r="P66" s="20"/>
      <c r="Q66" s="20"/>
      <c r="R66" s="20"/>
      <c r="S66" s="20"/>
      <c r="T66" s="20"/>
      <c r="U66" s="20"/>
    </row>
    <row r="67" spans="1:21" ht="14.25" customHeight="1">
      <c r="A67" s="121" t="s">
        <v>99</v>
      </c>
      <c r="B67" s="118"/>
      <c r="C67" s="118"/>
      <c r="D67" s="118"/>
      <c r="E67" s="118"/>
      <c r="F67" s="118"/>
      <c r="G67" s="118"/>
      <c r="H67" s="118"/>
      <c r="I67" s="118"/>
      <c r="J67" s="20"/>
      <c r="K67" s="20"/>
      <c r="L67" s="20"/>
      <c r="M67" s="20"/>
      <c r="N67" s="20"/>
      <c r="O67" s="20"/>
      <c r="P67" s="20"/>
      <c r="Q67" s="20"/>
      <c r="R67" s="20"/>
      <c r="S67" s="20"/>
      <c r="T67" s="20"/>
      <c r="U67" s="20"/>
    </row>
    <row r="68" spans="1:21" ht="14.25" customHeight="1">
      <c r="A68" s="119"/>
      <c r="B68" s="120"/>
      <c r="C68" s="120"/>
      <c r="D68" s="120"/>
      <c r="E68" s="120"/>
      <c r="F68" s="120"/>
      <c r="G68" s="120"/>
      <c r="H68" s="120"/>
      <c r="I68" s="120"/>
      <c r="J68" s="20"/>
      <c r="K68" s="20"/>
      <c r="L68" s="20"/>
      <c r="M68" s="20"/>
      <c r="N68" s="20"/>
      <c r="O68" s="20"/>
      <c r="P68" s="20"/>
      <c r="Q68" s="20"/>
      <c r="R68" s="20"/>
      <c r="S68" s="20"/>
      <c r="T68" s="20"/>
      <c r="U68" s="20"/>
    </row>
    <row r="69" spans="1:21" ht="14.25" customHeight="1">
      <c r="A69" s="119"/>
      <c r="B69" s="120"/>
      <c r="C69" s="120"/>
      <c r="D69" s="120"/>
      <c r="E69" s="120"/>
      <c r="F69" s="120"/>
      <c r="G69" s="120"/>
      <c r="H69" s="120"/>
      <c r="I69" s="120"/>
      <c r="J69" s="20"/>
      <c r="K69" s="20"/>
      <c r="L69" s="20"/>
      <c r="M69" s="20"/>
      <c r="N69" s="20"/>
      <c r="O69" s="20"/>
      <c r="P69" s="20"/>
      <c r="Q69" s="20"/>
      <c r="R69" s="20"/>
      <c r="S69" s="20"/>
      <c r="T69" s="20"/>
      <c r="U69" s="20"/>
    </row>
    <row r="70" spans="1:21" ht="14.25" customHeight="1">
      <c r="A70" s="119"/>
      <c r="B70" s="120"/>
      <c r="C70" s="120"/>
      <c r="D70" s="120"/>
      <c r="E70" s="120"/>
      <c r="F70" s="120"/>
      <c r="G70" s="120"/>
      <c r="H70" s="120"/>
      <c r="I70" s="120"/>
      <c r="J70" s="20"/>
      <c r="K70" s="20"/>
      <c r="L70" s="20"/>
      <c r="M70" s="20"/>
      <c r="N70" s="20"/>
      <c r="O70" s="20"/>
      <c r="P70" s="20"/>
      <c r="Q70" s="20"/>
      <c r="R70" s="20"/>
      <c r="S70" s="20"/>
      <c r="T70" s="20"/>
      <c r="U70" s="20"/>
    </row>
    <row r="71" spans="1:21" ht="14.25" customHeight="1">
      <c r="A71" s="119"/>
      <c r="B71" s="120"/>
      <c r="C71" s="120"/>
      <c r="D71" s="120"/>
      <c r="E71" s="120"/>
      <c r="F71" s="120"/>
      <c r="G71" s="120"/>
      <c r="H71" s="120"/>
      <c r="I71" s="120"/>
      <c r="J71" s="20"/>
      <c r="K71" s="20"/>
      <c r="L71" s="20"/>
      <c r="M71" s="20"/>
      <c r="N71" s="20"/>
      <c r="O71" s="20"/>
      <c r="P71" s="20"/>
      <c r="Q71" s="20"/>
      <c r="R71" s="20"/>
      <c r="S71" s="20"/>
      <c r="T71" s="20"/>
      <c r="U71" s="20"/>
    </row>
    <row r="72" spans="1:21" ht="14.25" customHeight="1">
      <c r="A72" s="20"/>
      <c r="B72" s="20"/>
      <c r="C72" s="20"/>
      <c r="D72" s="20"/>
      <c r="E72" s="20"/>
      <c r="F72" s="20"/>
      <c r="G72" s="20"/>
      <c r="H72" s="20"/>
      <c r="I72" s="20"/>
      <c r="J72" s="20"/>
      <c r="K72" s="20"/>
      <c r="L72" s="20"/>
      <c r="M72" s="20"/>
      <c r="N72" s="20"/>
      <c r="O72" s="20"/>
      <c r="P72" s="20"/>
      <c r="Q72" s="20"/>
      <c r="R72" s="20"/>
      <c r="S72" s="20"/>
      <c r="T72" s="20"/>
      <c r="U72" s="20"/>
    </row>
  </sheetData>
  <mergeCells count="28">
    <mergeCell ref="C15:I16"/>
    <mergeCell ref="C17:H19"/>
    <mergeCell ref="B5:I5"/>
    <mergeCell ref="A2:I2"/>
    <mergeCell ref="B6:I6"/>
    <mergeCell ref="B8:I8"/>
    <mergeCell ref="B7:I7"/>
    <mergeCell ref="C12:I14"/>
    <mergeCell ref="D53:H53"/>
    <mergeCell ref="D56:H56"/>
    <mergeCell ref="D55:H55"/>
    <mergeCell ref="A67:I71"/>
    <mergeCell ref="D54:H54"/>
    <mergeCell ref="A28:B28"/>
    <mergeCell ref="A41:B41"/>
    <mergeCell ref="D52:H52"/>
    <mergeCell ref="D51:H51"/>
    <mergeCell ref="D50:H50"/>
    <mergeCell ref="D49:H49"/>
    <mergeCell ref="D48:H48"/>
    <mergeCell ref="D47:H47"/>
    <mergeCell ref="D41:H41"/>
    <mergeCell ref="C38:I39"/>
    <mergeCell ref="D45:H45"/>
    <mergeCell ref="D46:H46"/>
    <mergeCell ref="D43:H43"/>
    <mergeCell ref="D42:H42"/>
    <mergeCell ref="D44:H44"/>
  </mergeCells>
  <dataValidations count="1">
    <dataValidation type="list" allowBlank="1" showInputMessage="1" showErrorMessage="1" prompt="Please Select Number of Units - This analysis is for 1-4 unit properties only.  Please select the number of units from the drop down list.  " sqref="B11">
      <formula1>$K$2:$K$4</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topLeftCell="A33" workbookViewId="0"/>
  </sheetViews>
  <sheetFormatPr defaultColWidth="14.44140625" defaultRowHeight="15" customHeight="1"/>
  <cols>
    <col min="1" max="1" width="18" customWidth="1"/>
    <col min="2" max="2" width="19.88671875" customWidth="1"/>
    <col min="3" max="3" width="17.33203125" customWidth="1"/>
    <col min="4" max="4" width="8.109375" customWidth="1"/>
    <col min="5" max="5" width="10.88671875" customWidth="1"/>
    <col min="6" max="6" width="4" customWidth="1"/>
    <col min="7" max="7" width="10.88671875" customWidth="1"/>
    <col min="8" max="8" width="1.88671875" customWidth="1"/>
    <col min="9" max="9" width="10.44140625" customWidth="1"/>
    <col min="10" max="10" width="7.33203125" customWidth="1"/>
    <col min="11" max="11" width="3.5546875" customWidth="1"/>
  </cols>
  <sheetData>
    <row r="1" spans="1:11" ht="14.25" customHeight="1">
      <c r="A1" s="1" t="s">
        <v>0</v>
      </c>
      <c r="B1" s="2"/>
      <c r="C1" s="1" t="str">
        <f>Inputs!B10</f>
        <v>9428 E. Lehigh Ave.</v>
      </c>
      <c r="D1" s="2"/>
      <c r="E1" s="2"/>
      <c r="F1" s="2"/>
      <c r="G1" s="2"/>
      <c r="H1" s="2"/>
      <c r="I1" s="2"/>
      <c r="J1" s="2"/>
      <c r="K1" s="2"/>
    </row>
    <row r="2" spans="1:11" ht="14.25" customHeight="1">
      <c r="A2" s="2"/>
      <c r="B2" s="2"/>
      <c r="C2" s="2"/>
      <c r="D2" s="2"/>
      <c r="E2" s="2"/>
      <c r="F2" s="2"/>
      <c r="G2" s="2"/>
      <c r="H2" s="2"/>
      <c r="I2" s="2"/>
      <c r="J2" s="2"/>
      <c r="K2" s="2"/>
    </row>
    <row r="3" spans="1:11" ht="14.25" customHeight="1">
      <c r="A3" s="4" t="s">
        <v>1</v>
      </c>
      <c r="B3" s="2"/>
      <c r="C3" s="5">
        <f>Inputs!B11</f>
        <v>1</v>
      </c>
      <c r="D3" s="2"/>
      <c r="E3" s="2"/>
      <c r="F3" s="2"/>
      <c r="G3" s="2"/>
      <c r="H3" s="2"/>
      <c r="I3" s="2"/>
      <c r="J3" s="2"/>
      <c r="K3" s="2"/>
    </row>
    <row r="4" spans="1:11" ht="14.25" customHeight="1">
      <c r="A4" s="2"/>
      <c r="B4" s="2"/>
      <c r="C4" s="2"/>
      <c r="D4" s="2"/>
      <c r="E4" s="2"/>
      <c r="F4" s="2"/>
      <c r="G4" s="2"/>
      <c r="H4" s="2"/>
      <c r="I4" s="2"/>
      <c r="J4" s="2"/>
      <c r="K4" s="2"/>
    </row>
    <row r="5" spans="1:11" ht="14.25" customHeight="1">
      <c r="A5" s="1" t="s">
        <v>2</v>
      </c>
      <c r="B5" s="2"/>
      <c r="C5" s="2"/>
      <c r="D5" s="2"/>
      <c r="E5" s="2"/>
      <c r="F5" s="2"/>
      <c r="G5" s="2"/>
      <c r="H5" s="2"/>
      <c r="I5" s="2"/>
      <c r="J5" s="2"/>
      <c r="K5" s="2"/>
    </row>
    <row r="6" spans="1:11" ht="14.25" customHeight="1">
      <c r="A6" s="6" t="s">
        <v>3</v>
      </c>
      <c r="B6" s="6"/>
      <c r="C6" s="10">
        <f>Inputs!B15</f>
        <v>270000</v>
      </c>
      <c r="D6" s="2"/>
      <c r="E6" s="2"/>
      <c r="F6" s="2"/>
      <c r="G6" s="2"/>
      <c r="H6" s="2"/>
      <c r="I6" s="2"/>
      <c r="J6" s="2"/>
      <c r="K6" s="2"/>
    </row>
    <row r="7" spans="1:11" ht="14.25" customHeight="1">
      <c r="A7" s="6" t="s">
        <v>5</v>
      </c>
      <c r="B7" s="6"/>
      <c r="C7" s="11">
        <f>Inputs!B19</f>
        <v>202500</v>
      </c>
      <c r="D7" s="2"/>
      <c r="E7" s="2"/>
      <c r="F7" s="2"/>
      <c r="G7" s="2"/>
      <c r="H7" s="2"/>
      <c r="I7" s="2"/>
      <c r="J7" s="2"/>
      <c r="K7" s="2"/>
    </row>
    <row r="8" spans="1:11" ht="14.25" customHeight="1">
      <c r="A8" s="6" t="s">
        <v>6</v>
      </c>
      <c r="B8" s="6"/>
      <c r="C8" s="10">
        <f>Inputs!B18</f>
        <v>67500</v>
      </c>
      <c r="D8" s="2"/>
      <c r="E8" s="2"/>
      <c r="F8" s="2"/>
      <c r="G8" s="2"/>
      <c r="H8" s="2"/>
      <c r="I8" s="2"/>
      <c r="J8" s="2"/>
      <c r="K8" s="2"/>
    </row>
    <row r="9" spans="1:11" ht="14.25" customHeight="1">
      <c r="A9" s="6" t="s">
        <v>7</v>
      </c>
      <c r="B9" s="6"/>
      <c r="C9" s="10">
        <f>Inputs!B16+Inputs!B17</f>
        <v>3395</v>
      </c>
      <c r="D9" s="2"/>
      <c r="E9" s="2"/>
      <c r="F9" s="2"/>
      <c r="G9" s="2"/>
      <c r="H9" s="2"/>
      <c r="I9" s="2"/>
      <c r="J9" s="2"/>
      <c r="K9" s="2"/>
    </row>
    <row r="10" spans="1:11" ht="14.25" customHeight="1">
      <c r="A10" s="6" t="s">
        <v>8</v>
      </c>
      <c r="B10" s="6"/>
      <c r="C10" s="11">
        <f>Inputs!B21</f>
        <v>1000</v>
      </c>
      <c r="D10" s="2"/>
      <c r="E10" s="2"/>
      <c r="F10" s="2"/>
      <c r="G10" s="2"/>
      <c r="H10" s="2"/>
      <c r="I10" s="2"/>
      <c r="J10" s="2"/>
      <c r="K10" s="2"/>
    </row>
    <row r="11" spans="1:11" ht="14.25" customHeight="1">
      <c r="A11" s="1" t="s">
        <v>9</v>
      </c>
      <c r="B11" s="1"/>
      <c r="C11" s="12">
        <f>Inputs!B22</f>
        <v>71895</v>
      </c>
      <c r="D11" s="2"/>
      <c r="E11" s="2"/>
      <c r="F11" s="2"/>
      <c r="G11" s="2"/>
      <c r="H11" s="2"/>
      <c r="I11" s="2"/>
      <c r="J11" s="2"/>
      <c r="K11" s="2"/>
    </row>
    <row r="12" spans="1:11" ht="14.25" customHeight="1">
      <c r="A12" s="2"/>
      <c r="B12" s="2"/>
      <c r="C12" s="2"/>
      <c r="D12" s="2"/>
      <c r="E12" s="2"/>
      <c r="F12" s="2"/>
      <c r="G12" s="2"/>
      <c r="H12" s="2"/>
      <c r="I12" s="2"/>
      <c r="J12" s="2"/>
      <c r="K12" s="2"/>
    </row>
    <row r="13" spans="1:11" ht="14.25" customHeight="1">
      <c r="A13" s="2"/>
      <c r="B13" s="2"/>
      <c r="C13" s="2"/>
      <c r="D13" s="2"/>
      <c r="E13" s="2"/>
      <c r="F13" s="2"/>
      <c r="G13" s="2"/>
      <c r="H13" s="2"/>
      <c r="I13" s="2"/>
      <c r="J13" s="2"/>
      <c r="K13" s="2"/>
    </row>
    <row r="14" spans="1:11" ht="14.25" customHeight="1">
      <c r="A14" s="1" t="s">
        <v>10</v>
      </c>
      <c r="B14" s="2"/>
      <c r="C14" s="2"/>
      <c r="D14" s="2"/>
      <c r="E14" s="2"/>
      <c r="F14" s="2"/>
      <c r="G14" s="2"/>
      <c r="H14" s="2"/>
      <c r="I14" s="2"/>
      <c r="J14" s="2"/>
      <c r="K14" s="2"/>
    </row>
    <row r="15" spans="1:11" ht="14.25" customHeight="1">
      <c r="A15" s="2"/>
      <c r="B15" s="2"/>
      <c r="C15" s="2"/>
      <c r="D15" s="2"/>
      <c r="E15" s="2"/>
      <c r="F15" s="2"/>
      <c r="G15" s="2"/>
      <c r="H15" s="2"/>
      <c r="I15" s="2"/>
      <c r="J15" s="2"/>
      <c r="K15" s="2"/>
    </row>
    <row r="16" spans="1:11" ht="14.25" customHeight="1">
      <c r="A16" s="13" t="s">
        <v>11</v>
      </c>
      <c r="B16" s="6"/>
      <c r="C16" s="6"/>
      <c r="D16" s="6"/>
      <c r="E16" s="6"/>
      <c r="F16" s="6"/>
      <c r="G16" s="6"/>
      <c r="H16" s="6"/>
      <c r="I16" s="6"/>
      <c r="J16" s="2"/>
      <c r="K16" s="2"/>
    </row>
    <row r="17" spans="1:11" ht="14.25" customHeight="1">
      <c r="A17" s="6" t="s">
        <v>12</v>
      </c>
      <c r="B17" s="6"/>
      <c r="C17" s="14">
        <f>Inputs!B33*12</f>
        <v>24600</v>
      </c>
      <c r="D17" s="6"/>
      <c r="E17" s="15">
        <f>Inputs!B33</f>
        <v>2050</v>
      </c>
      <c r="F17" s="16" t="s">
        <v>13</v>
      </c>
      <c r="G17" s="16"/>
      <c r="H17" s="16"/>
      <c r="I17" s="16"/>
      <c r="J17" s="2"/>
      <c r="K17" s="2"/>
    </row>
    <row r="18" spans="1:11" ht="14.25" customHeight="1">
      <c r="A18" s="6" t="s">
        <v>14</v>
      </c>
      <c r="B18" s="17">
        <f>Inputs!B35</f>
        <v>0.05</v>
      </c>
      <c r="C18" s="18">
        <f>-C17*Inputs!B35</f>
        <v>-1230</v>
      </c>
      <c r="D18" s="6"/>
      <c r="E18" s="6"/>
      <c r="F18" s="6"/>
      <c r="G18" s="6"/>
      <c r="H18" s="6"/>
      <c r="I18" s="6"/>
      <c r="J18" s="2"/>
      <c r="K18" s="2"/>
    </row>
    <row r="19" spans="1:11" ht="14.25" customHeight="1">
      <c r="A19" s="4" t="s">
        <v>15</v>
      </c>
      <c r="B19" s="4"/>
      <c r="C19" s="19">
        <f>SUM(C17:C18)</f>
        <v>23370</v>
      </c>
      <c r="D19" s="6"/>
      <c r="E19" s="6"/>
      <c r="F19" s="6"/>
      <c r="G19" s="6"/>
      <c r="H19" s="6"/>
      <c r="I19" s="6"/>
      <c r="J19" s="2"/>
      <c r="K19" s="2"/>
    </row>
    <row r="20" spans="1:11" ht="14.25" customHeight="1">
      <c r="A20" s="6"/>
      <c r="B20" s="6"/>
      <c r="C20" s="14"/>
      <c r="D20" s="6"/>
      <c r="E20" s="6"/>
      <c r="F20" s="6"/>
      <c r="G20" s="6"/>
      <c r="H20" s="6"/>
      <c r="I20" s="6"/>
      <c r="J20" s="2"/>
      <c r="K20" s="2"/>
    </row>
    <row r="21" spans="1:11" ht="14.25" customHeight="1">
      <c r="A21" s="13" t="s">
        <v>16</v>
      </c>
      <c r="B21" s="6"/>
      <c r="C21" s="14"/>
      <c r="D21" s="6"/>
      <c r="E21" s="6" t="s">
        <v>17</v>
      </c>
      <c r="F21" s="6"/>
      <c r="G21" s="6"/>
      <c r="H21" s="6"/>
      <c r="I21" s="6"/>
      <c r="J21" s="2"/>
      <c r="K21" s="2"/>
    </row>
    <row r="22" spans="1:11" ht="14.25" customHeight="1">
      <c r="A22" s="6" t="s">
        <v>18</v>
      </c>
      <c r="B22" s="6"/>
      <c r="C22" s="14">
        <f>Inputs!B42</f>
        <v>1246</v>
      </c>
      <c r="D22" s="6"/>
      <c r="E22" s="128">
        <f>Inputs!D42</f>
        <v>0</v>
      </c>
      <c r="F22" s="129"/>
      <c r="G22" s="129"/>
      <c r="H22" s="129"/>
      <c r="I22" s="129"/>
      <c r="J22" s="129"/>
      <c r="K22" s="2"/>
    </row>
    <row r="23" spans="1:11" ht="14.25" customHeight="1">
      <c r="A23" s="6" t="s">
        <v>27</v>
      </c>
      <c r="B23" s="6"/>
      <c r="C23" s="14">
        <f>Inputs!B43</f>
        <v>300</v>
      </c>
      <c r="D23" s="6"/>
      <c r="E23" s="126">
        <f>Inputs!D43</f>
        <v>0</v>
      </c>
      <c r="F23" s="127"/>
      <c r="G23" s="127"/>
      <c r="H23" s="127"/>
      <c r="I23" s="127"/>
      <c r="J23" s="127"/>
      <c r="K23" s="2"/>
    </row>
    <row r="24" spans="1:11" ht="14.25" customHeight="1">
      <c r="A24" s="6" t="s">
        <v>38</v>
      </c>
      <c r="B24" s="6"/>
      <c r="C24" s="14">
        <f>Inputs!B44</f>
        <v>0</v>
      </c>
      <c r="D24" s="6"/>
      <c r="E24" s="126" t="str">
        <f>Inputs!D44</f>
        <v>Standard 10% of gross rents for Property Management</v>
      </c>
      <c r="F24" s="127"/>
      <c r="G24" s="127"/>
      <c r="H24" s="127"/>
      <c r="I24" s="127"/>
      <c r="J24" s="127"/>
      <c r="K24" s="2"/>
    </row>
    <row r="25" spans="1:11" ht="14.25" customHeight="1">
      <c r="A25" s="6" t="s">
        <v>39</v>
      </c>
      <c r="B25" s="6"/>
      <c r="C25" s="14">
        <f>Inputs!B45</f>
        <v>1230</v>
      </c>
      <c r="D25" s="6"/>
      <c r="E25" s="126" t="str">
        <f>Inputs!D45</f>
        <v>Generally a minimum of 5% for repairs/maintenance</v>
      </c>
      <c r="F25" s="127"/>
      <c r="G25" s="127"/>
      <c r="H25" s="127"/>
      <c r="I25" s="127"/>
      <c r="J25" s="127"/>
      <c r="K25" s="2"/>
    </row>
    <row r="26" spans="1:11" ht="14.25" customHeight="1">
      <c r="A26" s="6" t="s">
        <v>41</v>
      </c>
      <c r="B26" s="6"/>
      <c r="C26" s="14">
        <f>Inputs!B46</f>
        <v>0</v>
      </c>
      <c r="D26" s="6"/>
      <c r="E26" s="126">
        <f>Inputs!D46</f>
        <v>0</v>
      </c>
      <c r="F26" s="127"/>
      <c r="G26" s="127"/>
      <c r="H26" s="127"/>
      <c r="I26" s="127"/>
      <c r="J26" s="127"/>
      <c r="K26" s="2"/>
    </row>
    <row r="27" spans="1:11" ht="14.25" customHeight="1">
      <c r="A27" s="6" t="s">
        <v>42</v>
      </c>
      <c r="B27" s="6"/>
      <c r="C27" s="14">
        <f>Inputs!B47</f>
        <v>0</v>
      </c>
      <c r="D27" s="6"/>
      <c r="E27" s="126">
        <f>Inputs!D47</f>
        <v>0</v>
      </c>
      <c r="F27" s="127"/>
      <c r="G27" s="127"/>
      <c r="H27" s="127"/>
      <c r="I27" s="127"/>
      <c r="J27" s="127"/>
      <c r="K27" s="2"/>
    </row>
    <row r="28" spans="1:11" ht="14.25" customHeight="1">
      <c r="A28" s="6" t="s">
        <v>44</v>
      </c>
      <c r="B28" s="6"/>
      <c r="C28" s="14">
        <f>Inputs!B48</f>
        <v>0</v>
      </c>
      <c r="D28" s="6"/>
      <c r="E28" s="126">
        <f>Inputs!D48</f>
        <v>0</v>
      </c>
      <c r="F28" s="127"/>
      <c r="G28" s="127"/>
      <c r="H28" s="127"/>
      <c r="I28" s="127"/>
      <c r="J28" s="127"/>
      <c r="K28" s="2"/>
    </row>
    <row r="29" spans="1:11" ht="14.25" customHeight="1">
      <c r="A29" s="6" t="s">
        <v>47</v>
      </c>
      <c r="B29" s="6"/>
      <c r="C29" s="14">
        <f>Inputs!B49</f>
        <v>0</v>
      </c>
      <c r="D29" s="6"/>
      <c r="E29" s="126">
        <f>Inputs!D49</f>
        <v>0</v>
      </c>
      <c r="F29" s="127"/>
      <c r="G29" s="127"/>
      <c r="H29" s="127"/>
      <c r="I29" s="127"/>
      <c r="J29" s="127"/>
      <c r="K29" s="2"/>
    </row>
    <row r="30" spans="1:11" ht="14.25" customHeight="1">
      <c r="A30" s="6" t="s">
        <v>50</v>
      </c>
      <c r="B30" s="6"/>
      <c r="C30" s="14">
        <f>Inputs!B50</f>
        <v>0</v>
      </c>
      <c r="D30" s="6"/>
      <c r="E30" s="126">
        <f>Inputs!D50</f>
        <v>0</v>
      </c>
      <c r="F30" s="127"/>
      <c r="G30" s="127"/>
      <c r="H30" s="127"/>
      <c r="I30" s="127"/>
      <c r="J30" s="127"/>
      <c r="K30" s="2"/>
    </row>
    <row r="31" spans="1:11" ht="14.25" customHeight="1">
      <c r="A31" s="6" t="str">
        <f>Inputs!A51</f>
        <v>HOA Dues</v>
      </c>
      <c r="B31" s="6"/>
      <c r="C31" s="14">
        <f>Inputs!B51</f>
        <v>1680</v>
      </c>
      <c r="D31" s="6"/>
      <c r="E31" s="126">
        <f>Inputs!D51</f>
        <v>0</v>
      </c>
      <c r="F31" s="127"/>
      <c r="G31" s="127"/>
      <c r="H31" s="127"/>
      <c r="I31" s="127"/>
      <c r="J31" s="127"/>
      <c r="K31" s="2"/>
    </row>
    <row r="32" spans="1:11" ht="14.25" customHeight="1">
      <c r="A32" s="6" t="str">
        <f>Inputs!A52</f>
        <v>Other</v>
      </c>
      <c r="B32" s="6"/>
      <c r="C32" s="14">
        <f>Inputs!B52</f>
        <v>0</v>
      </c>
      <c r="D32" s="6"/>
      <c r="E32" s="126">
        <f>Inputs!D52</f>
        <v>0</v>
      </c>
      <c r="F32" s="127"/>
      <c r="G32" s="127"/>
      <c r="H32" s="127"/>
      <c r="I32" s="127"/>
      <c r="J32" s="127"/>
      <c r="K32" s="2"/>
    </row>
    <row r="33" spans="1:11" ht="14.25" customHeight="1">
      <c r="A33" s="6" t="str">
        <f>Inputs!A53</f>
        <v>Other</v>
      </c>
      <c r="B33" s="6"/>
      <c r="C33" s="14">
        <f>Inputs!B53</f>
        <v>0</v>
      </c>
      <c r="D33" s="6"/>
      <c r="E33" s="126">
        <f>Inputs!D53</f>
        <v>0</v>
      </c>
      <c r="F33" s="127"/>
      <c r="G33" s="127"/>
      <c r="H33" s="127"/>
      <c r="I33" s="127"/>
      <c r="J33" s="127"/>
      <c r="K33" s="2"/>
    </row>
    <row r="34" spans="1:11" ht="14.25" customHeight="1">
      <c r="A34" s="6" t="str">
        <f>Inputs!A54</f>
        <v>Other</v>
      </c>
      <c r="B34" s="6"/>
      <c r="C34" s="14">
        <f>Inputs!B54</f>
        <v>0</v>
      </c>
      <c r="D34" s="6"/>
      <c r="E34" s="126">
        <f>Inputs!D54</f>
        <v>0</v>
      </c>
      <c r="F34" s="127"/>
      <c r="G34" s="127"/>
      <c r="H34" s="127"/>
      <c r="I34" s="127"/>
      <c r="J34" s="127"/>
      <c r="K34" s="2"/>
    </row>
    <row r="35" spans="1:11" ht="14.25" customHeight="1">
      <c r="A35" s="6" t="str">
        <f>Inputs!A55</f>
        <v>Other</v>
      </c>
      <c r="B35" s="6"/>
      <c r="C35" s="14">
        <f>Inputs!B55</f>
        <v>0</v>
      </c>
      <c r="D35" s="6"/>
      <c r="E35" s="126">
        <f>Inputs!D55</f>
        <v>0</v>
      </c>
      <c r="F35" s="127"/>
      <c r="G35" s="127"/>
      <c r="H35" s="127"/>
      <c r="I35" s="127"/>
      <c r="J35" s="127"/>
      <c r="K35" s="2"/>
    </row>
    <row r="36" spans="1:11" ht="14.25" customHeight="1">
      <c r="A36" s="6" t="str">
        <f>Inputs!A56</f>
        <v>Other</v>
      </c>
      <c r="B36" s="6"/>
      <c r="C36" s="18">
        <f>Inputs!B56</f>
        <v>0</v>
      </c>
      <c r="D36" s="6"/>
      <c r="E36" s="126">
        <f>Inputs!D56</f>
        <v>0</v>
      </c>
      <c r="F36" s="127"/>
      <c r="G36" s="127"/>
      <c r="H36" s="127"/>
      <c r="I36" s="127"/>
      <c r="J36" s="127"/>
      <c r="K36" s="2"/>
    </row>
    <row r="37" spans="1:11" ht="14.25" customHeight="1">
      <c r="A37" s="4" t="s">
        <v>56</v>
      </c>
      <c r="B37" s="6"/>
      <c r="C37" s="19">
        <f>SUM(C22:C36)</f>
        <v>4456</v>
      </c>
      <c r="D37" s="6"/>
      <c r="E37" s="6"/>
      <c r="F37" s="6"/>
      <c r="G37" s="6"/>
      <c r="H37" s="6"/>
      <c r="I37" s="6"/>
      <c r="J37" s="2"/>
      <c r="K37" s="2"/>
    </row>
    <row r="38" spans="1:11" ht="14.25" customHeight="1">
      <c r="A38" s="6"/>
      <c r="B38" s="6"/>
      <c r="C38" s="14"/>
      <c r="D38" s="6"/>
      <c r="E38" s="6"/>
      <c r="F38" s="6"/>
      <c r="G38" s="6"/>
      <c r="H38" s="6"/>
      <c r="I38" s="6"/>
      <c r="J38" s="2"/>
      <c r="K38" s="2"/>
    </row>
    <row r="39" spans="1:11" ht="14.25" customHeight="1">
      <c r="A39" s="4" t="s">
        <v>57</v>
      </c>
      <c r="B39" s="6"/>
      <c r="C39" s="19">
        <f>C19-C37</f>
        <v>18914</v>
      </c>
      <c r="D39" s="6"/>
      <c r="E39" s="6"/>
      <c r="F39" s="6"/>
      <c r="G39" s="6"/>
      <c r="H39" s="6"/>
      <c r="I39" s="6"/>
      <c r="J39" s="2"/>
      <c r="K39" s="2"/>
    </row>
    <row r="40" spans="1:11" ht="14.25" customHeight="1">
      <c r="A40" s="2"/>
      <c r="B40" s="2"/>
      <c r="C40" s="2"/>
      <c r="D40" s="2"/>
      <c r="E40" s="2"/>
      <c r="F40" s="2"/>
      <c r="G40" s="2"/>
      <c r="H40" s="2"/>
      <c r="I40" s="2"/>
      <c r="J40" s="2"/>
      <c r="K40" s="2"/>
    </row>
    <row r="41" spans="1:11" ht="14.25" customHeight="1">
      <c r="A41" s="6" t="s">
        <v>58</v>
      </c>
      <c r="B41" s="2"/>
      <c r="C41" s="10">
        <f>PMT(Inputs!B24/12,Inputs!B25*12,Inputs!B19,0)*12</f>
        <v>-12676.030277025595</v>
      </c>
      <c r="D41" s="2"/>
      <c r="E41" s="32">
        <f>Inputs!B19</f>
        <v>202500</v>
      </c>
      <c r="F41" s="33" t="s">
        <v>60</v>
      </c>
      <c r="G41" s="35">
        <f>Inputs!B24</f>
        <v>4.7500000000000001E-2</v>
      </c>
      <c r="H41" s="33" t="s">
        <v>64</v>
      </c>
      <c r="I41" s="37">
        <f>-C41/12</f>
        <v>1056.3358564187995</v>
      </c>
      <c r="J41" s="39" t="s">
        <v>65</v>
      </c>
      <c r="K41" s="39"/>
    </row>
    <row r="42" spans="1:11" ht="14.25" customHeight="1">
      <c r="A42" s="2"/>
      <c r="B42" s="2"/>
      <c r="C42" s="2"/>
      <c r="D42" s="2"/>
      <c r="E42" s="2"/>
      <c r="F42" s="2"/>
      <c r="G42" s="2"/>
      <c r="H42" s="2"/>
      <c r="I42" s="2"/>
      <c r="J42" s="2"/>
      <c r="K42" s="2"/>
    </row>
    <row r="43" spans="1:11" ht="14.25" customHeight="1">
      <c r="A43" s="1" t="s">
        <v>67</v>
      </c>
      <c r="B43" s="40"/>
      <c r="C43" s="42">
        <f>C39+C41</f>
        <v>6237.9697229744052</v>
      </c>
      <c r="D43" s="2"/>
      <c r="E43" s="2"/>
      <c r="F43" s="2"/>
      <c r="G43" s="2"/>
      <c r="H43" s="2"/>
      <c r="I43" s="2"/>
      <c r="J43" s="2"/>
      <c r="K43" s="2"/>
    </row>
    <row r="44" spans="1:11" ht="14.25" customHeight="1">
      <c r="A44" s="2"/>
      <c r="B44" s="2"/>
      <c r="C44" s="2"/>
      <c r="D44" s="2"/>
      <c r="E44" s="2"/>
      <c r="F44" s="2"/>
      <c r="G44" s="2"/>
      <c r="H44" s="2"/>
      <c r="I44" s="2"/>
      <c r="J44" s="2"/>
      <c r="K44" s="2"/>
    </row>
    <row r="45" spans="1:11" ht="14.25" customHeight="1">
      <c r="A45" s="44" t="s">
        <v>70</v>
      </c>
      <c r="B45" s="45"/>
      <c r="C45" s="47">
        <f>C43/C11</f>
        <v>8.6765000667284306E-2</v>
      </c>
      <c r="D45" s="2"/>
      <c r="E45" s="32">
        <f>C43</f>
        <v>6237.9697229744052</v>
      </c>
      <c r="F45" s="33" t="s">
        <v>74</v>
      </c>
      <c r="G45" s="32">
        <f>C11</f>
        <v>71895</v>
      </c>
      <c r="H45" s="39" t="s">
        <v>64</v>
      </c>
      <c r="I45" s="50">
        <f>C45</f>
        <v>8.6765000667284306E-2</v>
      </c>
      <c r="J45" s="2"/>
      <c r="K45" s="2"/>
    </row>
    <row r="46" spans="1:11" ht="14.25" customHeight="1">
      <c r="A46" s="2"/>
      <c r="B46" s="2"/>
      <c r="C46" s="2"/>
      <c r="D46" s="2"/>
      <c r="E46" s="2"/>
      <c r="F46" s="2"/>
      <c r="G46" s="2"/>
      <c r="H46" s="2"/>
      <c r="I46" s="2"/>
      <c r="J46" s="2"/>
      <c r="K46" s="2"/>
    </row>
    <row r="47" spans="1:11" ht="14.25" customHeight="1">
      <c r="A47" s="1" t="s">
        <v>76</v>
      </c>
      <c r="B47" s="2"/>
      <c r="C47" s="52">
        <f>C39/(C6+C10)</f>
        <v>6.9793357933579339E-2</v>
      </c>
      <c r="D47" s="2"/>
      <c r="E47" s="32">
        <f>C39</f>
        <v>18914</v>
      </c>
      <c r="F47" s="33" t="s">
        <v>74</v>
      </c>
      <c r="G47" s="32">
        <f>C6+C10</f>
        <v>271000</v>
      </c>
      <c r="H47" s="33" t="s">
        <v>64</v>
      </c>
      <c r="I47" s="55">
        <f>C47</f>
        <v>6.9793357933579339E-2</v>
      </c>
      <c r="J47" s="2"/>
      <c r="K47" s="2"/>
    </row>
    <row r="48" spans="1:11" ht="14.25" customHeight="1">
      <c r="A48" s="1"/>
      <c r="B48" s="2"/>
      <c r="C48" s="56"/>
      <c r="D48" s="2"/>
      <c r="E48" s="57"/>
      <c r="F48" s="24"/>
      <c r="G48" s="57"/>
      <c r="H48" s="24"/>
      <c r="I48" s="58"/>
      <c r="J48" s="2"/>
      <c r="K48" s="2"/>
    </row>
    <row r="49" spans="1:11" ht="14.25" customHeight="1">
      <c r="A49" s="1" t="s">
        <v>80</v>
      </c>
      <c r="B49" s="2"/>
      <c r="C49" s="60">
        <f>I49</f>
        <v>132.19512195121951</v>
      </c>
      <c r="D49" s="2"/>
      <c r="E49" s="32">
        <f>C6+C10</f>
        <v>271000</v>
      </c>
      <c r="F49" s="33" t="s">
        <v>74</v>
      </c>
      <c r="G49" s="32">
        <f>E17</f>
        <v>2050</v>
      </c>
      <c r="H49" s="33" t="s">
        <v>64</v>
      </c>
      <c r="I49" s="63">
        <f>E49/G49</f>
        <v>132.19512195121951</v>
      </c>
      <c r="J49" s="2"/>
      <c r="K49" s="2"/>
    </row>
    <row r="50" spans="1:11" ht="14.25" customHeight="1">
      <c r="A50" s="2"/>
      <c r="B50" s="2"/>
      <c r="C50" s="2"/>
      <c r="D50" s="2"/>
      <c r="E50" s="2"/>
      <c r="F50" s="2"/>
      <c r="G50" s="2"/>
      <c r="H50" s="2"/>
      <c r="I50" s="2"/>
      <c r="J50" s="2"/>
      <c r="K50" s="2"/>
    </row>
    <row r="51" spans="1:11" ht="14.25" customHeight="1">
      <c r="A51" s="1" t="s">
        <v>83</v>
      </c>
      <c r="B51" s="2"/>
      <c r="C51" s="52">
        <f>'15 Year Analysis'!M56</f>
        <v>0.19920489355049242</v>
      </c>
      <c r="D51" s="2"/>
      <c r="E51" s="130" t="s">
        <v>84</v>
      </c>
      <c r="F51" s="129"/>
      <c r="G51" s="129"/>
      <c r="H51" s="129"/>
      <c r="I51" s="129"/>
      <c r="J51" s="129"/>
      <c r="K51" s="129"/>
    </row>
    <row r="52" spans="1:11" ht="14.25" customHeight="1">
      <c r="A52" s="131"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2" s="118"/>
      <c r="C52" s="118"/>
      <c r="D52" s="118"/>
      <c r="E52" s="118"/>
      <c r="F52" s="118"/>
      <c r="G52" s="118"/>
      <c r="H52" s="118"/>
      <c r="I52" s="118"/>
      <c r="J52" s="118"/>
      <c r="K52" s="118"/>
    </row>
    <row r="53" spans="1:11" ht="14.25" customHeight="1">
      <c r="A53" s="119"/>
      <c r="B53" s="120"/>
      <c r="C53" s="120"/>
      <c r="D53" s="120"/>
      <c r="E53" s="120"/>
      <c r="F53" s="120"/>
      <c r="G53" s="120"/>
      <c r="H53" s="120"/>
      <c r="I53" s="120"/>
      <c r="J53" s="120"/>
      <c r="K53" s="120"/>
    </row>
    <row r="54" spans="1:11" ht="14.25" customHeight="1">
      <c r="A54" s="119"/>
      <c r="B54" s="120"/>
      <c r="C54" s="120"/>
      <c r="D54" s="120"/>
      <c r="E54" s="120"/>
      <c r="F54" s="120"/>
      <c r="G54" s="120"/>
      <c r="H54" s="120"/>
      <c r="I54" s="120"/>
      <c r="J54" s="120"/>
      <c r="K54" s="120"/>
    </row>
    <row r="55" spans="1:11" ht="14.25" customHeight="1">
      <c r="A55" s="119"/>
      <c r="B55" s="120"/>
      <c r="C55" s="120"/>
      <c r="D55" s="120"/>
      <c r="E55" s="120"/>
      <c r="F55" s="120"/>
      <c r="G55" s="120"/>
      <c r="H55" s="120"/>
      <c r="I55" s="120"/>
      <c r="J55" s="120"/>
      <c r="K55" s="120"/>
    </row>
    <row r="56" spans="1:11" ht="14.25" customHeight="1">
      <c r="A56" s="20"/>
      <c r="B56" s="20"/>
      <c r="C56" s="20"/>
      <c r="D56" s="20"/>
      <c r="E56" s="20"/>
      <c r="F56" s="20"/>
      <c r="G56" s="20"/>
      <c r="H56" s="20"/>
      <c r="I56" s="20"/>
      <c r="J56" s="20"/>
      <c r="K56" s="20"/>
    </row>
  </sheetData>
  <mergeCells count="17">
    <mergeCell ref="E30:J30"/>
    <mergeCell ref="E29:J29"/>
    <mergeCell ref="E28:J28"/>
    <mergeCell ref="E22:J22"/>
    <mergeCell ref="E51:K51"/>
    <mergeCell ref="A52:K55"/>
    <mergeCell ref="E27:J27"/>
    <mergeCell ref="E25:J25"/>
    <mergeCell ref="E26:J26"/>
    <mergeCell ref="E33:J33"/>
    <mergeCell ref="E34:J34"/>
    <mergeCell ref="E35:J35"/>
    <mergeCell ref="E32:J32"/>
    <mergeCell ref="E36:J36"/>
    <mergeCell ref="E23:J23"/>
    <mergeCell ref="E24:J24"/>
    <mergeCell ref="E31:J31"/>
  </mergeCells>
  <conditionalFormatting sqref="A1">
    <cfRule type="notContainsBlanks" dxfId="0" priority="1">
      <formula>LEN(TRIM(A1))&gt;0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workbookViewId="0"/>
  </sheetViews>
  <sheetFormatPr defaultColWidth="14.44140625" defaultRowHeight="15" customHeight="1"/>
  <cols>
    <col min="1" max="1" width="18" customWidth="1"/>
    <col min="2" max="2" width="19.88671875" customWidth="1"/>
    <col min="3" max="3" width="16.109375" customWidth="1"/>
    <col min="4" max="4" width="6" customWidth="1"/>
    <col min="5" max="5" width="12.88671875" customWidth="1"/>
    <col min="6" max="6" width="6" customWidth="1"/>
    <col min="7" max="7" width="13.44140625" customWidth="1"/>
    <col min="8" max="8" width="6" customWidth="1"/>
    <col min="9" max="9" width="13.6640625" customWidth="1"/>
    <col min="10" max="10" width="6" customWidth="1"/>
    <col min="11" max="11" width="15.6640625" customWidth="1"/>
    <col min="12" max="12" width="6" customWidth="1"/>
    <col min="13" max="13" width="15.6640625" customWidth="1"/>
    <col min="14" max="14" width="6" customWidth="1"/>
    <col min="15" max="15" width="15.6640625" customWidth="1"/>
    <col min="16" max="16" width="6" customWidth="1"/>
    <col min="17" max="17" width="15.6640625" customWidth="1"/>
    <col min="18" max="18" width="6" customWidth="1"/>
    <col min="19" max="19" width="15.6640625" customWidth="1"/>
    <col min="20" max="20" width="6" customWidth="1"/>
    <col min="21" max="21" width="15.6640625" customWidth="1"/>
    <col min="22" max="22" width="6" customWidth="1"/>
    <col min="23" max="23" width="15.6640625" customWidth="1"/>
    <col min="24" max="24" width="6" customWidth="1"/>
    <col min="25" max="25" width="15.6640625" customWidth="1"/>
    <col min="26" max="26" width="6" customWidth="1"/>
    <col min="27" max="27" width="15.6640625" customWidth="1"/>
    <col min="28" max="28" width="6" customWidth="1"/>
    <col min="29" max="29" width="15.6640625" customWidth="1"/>
    <col min="30" max="30" width="6" customWidth="1"/>
    <col min="31" max="31" width="15.6640625" customWidth="1"/>
    <col min="32" max="32" width="6" customWidth="1"/>
    <col min="33" max="33" width="15.6640625" customWidth="1"/>
  </cols>
  <sheetData>
    <row r="1" spans="1:33" ht="14.25" customHeight="1">
      <c r="A1" s="1" t="s">
        <v>0</v>
      </c>
      <c r="B1" s="2"/>
      <c r="C1" s="1" t="str">
        <f>Inputs!B10</f>
        <v>9428 E. Lehigh Ave.</v>
      </c>
      <c r="D1" s="2"/>
      <c r="E1" s="1" t="s">
        <v>2</v>
      </c>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4.25" customHeight="1">
      <c r="A2" s="2"/>
      <c r="B2" s="2"/>
      <c r="C2" s="2"/>
      <c r="D2" s="2"/>
      <c r="E2" s="6" t="s">
        <v>3</v>
      </c>
      <c r="F2" s="2"/>
      <c r="G2" s="6"/>
      <c r="H2" s="2"/>
      <c r="I2" s="10">
        <f>Inputs!B15</f>
        <v>270000</v>
      </c>
      <c r="J2" s="2"/>
      <c r="K2" s="2"/>
      <c r="L2" s="2"/>
      <c r="M2" s="2"/>
      <c r="N2" s="2"/>
      <c r="O2" s="2"/>
      <c r="P2" s="2"/>
      <c r="Q2" s="2"/>
      <c r="R2" s="2"/>
      <c r="S2" s="2"/>
      <c r="T2" s="2"/>
      <c r="U2" s="2"/>
      <c r="V2" s="2"/>
      <c r="W2" s="2"/>
      <c r="X2" s="2"/>
      <c r="Y2" s="2"/>
      <c r="Z2" s="2"/>
      <c r="AA2" s="2"/>
      <c r="AB2" s="2"/>
      <c r="AC2" s="2"/>
      <c r="AD2" s="2"/>
      <c r="AE2" s="2"/>
      <c r="AF2" s="2"/>
      <c r="AG2" s="2"/>
    </row>
    <row r="3" spans="1:33" ht="14.25" customHeight="1">
      <c r="A3" s="4" t="s">
        <v>1</v>
      </c>
      <c r="B3" s="2"/>
      <c r="C3" s="5">
        <f>Inputs!B11</f>
        <v>1</v>
      </c>
      <c r="D3" s="2"/>
      <c r="E3" s="6" t="s">
        <v>5</v>
      </c>
      <c r="F3" s="2"/>
      <c r="G3" s="6"/>
      <c r="H3" s="2"/>
      <c r="I3" s="11">
        <f>Inputs!B19</f>
        <v>202500</v>
      </c>
      <c r="J3" s="2"/>
      <c r="K3" s="2"/>
      <c r="L3" s="2"/>
      <c r="M3" s="2"/>
      <c r="N3" s="2"/>
      <c r="O3" s="2"/>
      <c r="P3" s="2"/>
      <c r="Q3" s="2"/>
      <c r="R3" s="2"/>
      <c r="S3" s="2"/>
      <c r="T3" s="2"/>
      <c r="U3" s="2"/>
      <c r="V3" s="2"/>
      <c r="W3" s="2"/>
      <c r="X3" s="2"/>
      <c r="Y3" s="2"/>
      <c r="Z3" s="2"/>
      <c r="AA3" s="2"/>
      <c r="AB3" s="2"/>
      <c r="AC3" s="2"/>
      <c r="AD3" s="2"/>
      <c r="AE3" s="2"/>
      <c r="AF3" s="2"/>
      <c r="AG3" s="2"/>
    </row>
    <row r="4" spans="1:33" ht="14.25" customHeight="1">
      <c r="A4" s="2"/>
      <c r="B4" s="2"/>
      <c r="C4" s="2"/>
      <c r="D4" s="2"/>
      <c r="E4" s="6" t="s">
        <v>6</v>
      </c>
      <c r="F4" s="2"/>
      <c r="G4" s="6"/>
      <c r="H4" s="2"/>
      <c r="I4" s="10">
        <f>Inputs!B18</f>
        <v>67500</v>
      </c>
      <c r="J4" s="2"/>
      <c r="K4" s="2"/>
      <c r="L4" s="2"/>
      <c r="M4" s="2"/>
      <c r="N4" s="2"/>
      <c r="O4" s="2"/>
      <c r="P4" s="2"/>
      <c r="Q4" s="2"/>
      <c r="R4" s="2"/>
      <c r="S4" s="2"/>
      <c r="T4" s="2"/>
      <c r="U4" s="2"/>
      <c r="V4" s="2"/>
      <c r="W4" s="2"/>
      <c r="X4" s="2"/>
      <c r="Y4" s="2"/>
      <c r="Z4" s="2"/>
      <c r="AA4" s="2"/>
      <c r="AB4" s="2"/>
      <c r="AC4" s="2"/>
      <c r="AD4" s="2"/>
      <c r="AE4" s="2"/>
      <c r="AF4" s="2"/>
      <c r="AG4" s="2"/>
    </row>
    <row r="5" spans="1:33" ht="14.25" customHeight="1">
      <c r="A5" s="2"/>
      <c r="B5" s="2"/>
      <c r="C5" s="2"/>
      <c r="D5" s="2"/>
      <c r="E5" s="6" t="s">
        <v>7</v>
      </c>
      <c r="F5" s="2"/>
      <c r="G5" s="6"/>
      <c r="H5" s="2"/>
      <c r="I5" s="10">
        <f>Inputs!B16+Inputs!B17</f>
        <v>3395</v>
      </c>
      <c r="J5" s="2"/>
      <c r="K5" s="2"/>
      <c r="L5" s="2"/>
      <c r="M5" s="2"/>
      <c r="N5" s="2"/>
      <c r="O5" s="2"/>
      <c r="P5" s="2"/>
      <c r="Q5" s="2"/>
      <c r="R5" s="2"/>
      <c r="S5" s="2"/>
      <c r="T5" s="2"/>
      <c r="U5" s="2"/>
      <c r="V5" s="2"/>
      <c r="W5" s="2"/>
      <c r="X5" s="2"/>
      <c r="Y5" s="2"/>
      <c r="Z5" s="2"/>
      <c r="AA5" s="2"/>
      <c r="AB5" s="2"/>
      <c r="AC5" s="2"/>
      <c r="AD5" s="2"/>
      <c r="AE5" s="2"/>
      <c r="AF5" s="2"/>
      <c r="AG5" s="2"/>
    </row>
    <row r="6" spans="1:33" ht="14.25" customHeight="1">
      <c r="A6" s="2"/>
      <c r="B6" s="2"/>
      <c r="C6" s="2"/>
      <c r="D6" s="2"/>
      <c r="E6" s="6" t="s">
        <v>8</v>
      </c>
      <c r="F6" s="2"/>
      <c r="G6" s="6"/>
      <c r="H6" s="2"/>
      <c r="I6" s="11">
        <f>Inputs!B21</f>
        <v>1000</v>
      </c>
      <c r="J6" s="2"/>
      <c r="K6" s="2"/>
      <c r="L6" s="2"/>
      <c r="M6" s="2"/>
      <c r="N6" s="2"/>
      <c r="O6" s="2"/>
      <c r="P6" s="2"/>
      <c r="Q6" s="2"/>
      <c r="R6" s="2"/>
      <c r="S6" s="2"/>
      <c r="T6" s="2"/>
      <c r="U6" s="2"/>
      <c r="V6" s="2"/>
      <c r="W6" s="2"/>
      <c r="X6" s="2"/>
      <c r="Y6" s="2"/>
      <c r="Z6" s="2"/>
      <c r="AA6" s="2"/>
      <c r="AB6" s="2"/>
      <c r="AC6" s="2"/>
      <c r="AD6" s="2"/>
      <c r="AE6" s="2"/>
      <c r="AF6" s="2"/>
      <c r="AG6" s="2"/>
    </row>
    <row r="7" spans="1:33" ht="14.25" customHeight="1">
      <c r="A7" s="2"/>
      <c r="B7" s="2"/>
      <c r="C7" s="2"/>
      <c r="D7" s="2"/>
      <c r="E7" s="1" t="s">
        <v>9</v>
      </c>
      <c r="F7" s="2"/>
      <c r="G7" s="1"/>
      <c r="H7" s="2"/>
      <c r="I7" s="12">
        <f>Inputs!B22</f>
        <v>71895</v>
      </c>
      <c r="J7" s="2"/>
      <c r="K7" s="2"/>
      <c r="L7" s="2"/>
      <c r="M7" s="2"/>
      <c r="N7" s="2"/>
      <c r="O7" s="2"/>
      <c r="P7" s="2"/>
      <c r="Q7" s="2"/>
      <c r="R7" s="2"/>
      <c r="S7" s="2"/>
      <c r="T7" s="2"/>
      <c r="U7" s="2"/>
      <c r="V7" s="2"/>
      <c r="W7" s="2"/>
      <c r="X7" s="2"/>
      <c r="Y7" s="2"/>
      <c r="Z7" s="2"/>
      <c r="AA7" s="2"/>
      <c r="AB7" s="2"/>
      <c r="AC7" s="2"/>
      <c r="AD7" s="2"/>
      <c r="AE7" s="2"/>
      <c r="AF7" s="2"/>
      <c r="AG7" s="2"/>
    </row>
    <row r="8" spans="1:33" ht="14.25" customHeight="1">
      <c r="A8" s="1" t="s">
        <v>10</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row>
    <row r="9" spans="1:33" ht="14.2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3" ht="14.25" customHeight="1">
      <c r="A10" s="13" t="s">
        <v>11</v>
      </c>
      <c r="B10" s="6"/>
      <c r="C10" s="6" t="s">
        <v>21</v>
      </c>
      <c r="D10" s="6"/>
      <c r="E10" s="2" t="s">
        <v>22</v>
      </c>
      <c r="F10" s="2"/>
      <c r="G10" s="2" t="s">
        <v>23</v>
      </c>
      <c r="H10" s="2"/>
      <c r="I10" s="2" t="s">
        <v>24</v>
      </c>
      <c r="J10" s="2"/>
      <c r="K10" s="2" t="s">
        <v>25</v>
      </c>
      <c r="L10" s="2"/>
      <c r="M10" s="2" t="s">
        <v>26</v>
      </c>
      <c r="N10" s="2"/>
      <c r="O10" s="2" t="s">
        <v>28</v>
      </c>
      <c r="P10" s="2"/>
      <c r="Q10" s="2" t="s">
        <v>29</v>
      </c>
      <c r="R10" s="2"/>
      <c r="S10" s="2" t="s">
        <v>30</v>
      </c>
      <c r="T10" s="2"/>
      <c r="U10" s="2" t="s">
        <v>31</v>
      </c>
      <c r="V10" s="2"/>
      <c r="W10" s="2" t="s">
        <v>32</v>
      </c>
      <c r="X10" s="2"/>
      <c r="Y10" s="2" t="s">
        <v>33</v>
      </c>
      <c r="Z10" s="2"/>
      <c r="AA10" s="2" t="s">
        <v>34</v>
      </c>
      <c r="AB10" s="2"/>
      <c r="AC10" s="2" t="s">
        <v>35</v>
      </c>
      <c r="AD10" s="2"/>
      <c r="AE10" s="2" t="s">
        <v>36</v>
      </c>
      <c r="AF10" s="2"/>
      <c r="AG10" s="2" t="s">
        <v>37</v>
      </c>
    </row>
    <row r="11" spans="1:33" ht="14.25" customHeight="1">
      <c r="A11" s="6" t="s">
        <v>12</v>
      </c>
      <c r="B11" s="6"/>
      <c r="C11" s="14">
        <f>Inputs!B33*12</f>
        <v>24600</v>
      </c>
      <c r="D11" s="14"/>
      <c r="E11" s="36">
        <f>C11*(1+Inputs!$B$37)</f>
        <v>25830</v>
      </c>
      <c r="F11" s="36"/>
      <c r="G11" s="36">
        <f>E11*(1+Inputs!$B$37)</f>
        <v>27121.5</v>
      </c>
      <c r="H11" s="36"/>
      <c r="I11" s="36">
        <f>G11*(1+Inputs!$B$37)</f>
        <v>28477.575000000001</v>
      </c>
      <c r="J11" s="36"/>
      <c r="K11" s="36">
        <f>I11*(1+Inputs!$B$37)</f>
        <v>29901.453750000001</v>
      </c>
      <c r="L11" s="36"/>
      <c r="M11" s="36">
        <f>K11*(1+Inputs!$B$37)</f>
        <v>31396.526437500001</v>
      </c>
      <c r="N11" s="36"/>
      <c r="O11" s="36">
        <f>M11*(1+Inputs!$B$37)</f>
        <v>32966.352759375004</v>
      </c>
      <c r="P11" s="2"/>
      <c r="Q11" s="36">
        <f>O11*(1+Inputs!$B$37)</f>
        <v>34614.670397343754</v>
      </c>
      <c r="R11" s="2"/>
      <c r="S11" s="36">
        <f>Q11*(1+Inputs!$B$37)</f>
        <v>36345.403917210941</v>
      </c>
      <c r="T11" s="2"/>
      <c r="U11" s="36">
        <f>S11*(1+Inputs!$B$37)</f>
        <v>38162.674113071487</v>
      </c>
      <c r="V11" s="2"/>
      <c r="W11" s="36">
        <f>U11*(1+Inputs!$B$37)</f>
        <v>40070.807818725065</v>
      </c>
      <c r="X11" s="2"/>
      <c r="Y11" s="36">
        <f>W11*(1+Inputs!$B$37)</f>
        <v>42074.348209661322</v>
      </c>
      <c r="Z11" s="2"/>
      <c r="AA11" s="36">
        <f>Y11*(1+Inputs!$B$37)</f>
        <v>44178.065620144393</v>
      </c>
      <c r="AB11" s="2"/>
      <c r="AC11" s="36">
        <f>AA11*(1+Inputs!$B$37)</f>
        <v>46386.968901151617</v>
      </c>
      <c r="AD11" s="2"/>
      <c r="AE11" s="36">
        <f>AC11*(1+Inputs!$B$37)</f>
        <v>48706.317346209202</v>
      </c>
      <c r="AF11" s="2"/>
      <c r="AG11" s="36">
        <f>AE11*(1+Inputs!$B$37)</f>
        <v>51141.633213519664</v>
      </c>
    </row>
    <row r="12" spans="1:33" ht="14.25" customHeight="1">
      <c r="A12" s="6" t="s">
        <v>14</v>
      </c>
      <c r="B12" s="17">
        <f>Inputs!B35</f>
        <v>0.05</v>
      </c>
      <c r="C12" s="18">
        <f>-C11*Inputs!B35</f>
        <v>-1230</v>
      </c>
      <c r="D12" s="14"/>
      <c r="E12" s="46">
        <f>-E11*Inputs!$B$35</f>
        <v>-1291.5</v>
      </c>
      <c r="F12" s="36"/>
      <c r="G12" s="46">
        <f>-G11*Inputs!$B$35</f>
        <v>-1356.075</v>
      </c>
      <c r="H12" s="36"/>
      <c r="I12" s="46">
        <f>-I11*Inputs!$B$35</f>
        <v>-1423.8787500000001</v>
      </c>
      <c r="J12" s="36"/>
      <c r="K12" s="46">
        <f>-K11*Inputs!$B$35</f>
        <v>-1495.0726875</v>
      </c>
      <c r="L12" s="36"/>
      <c r="M12" s="46">
        <f>-M11*Inputs!$B$35</f>
        <v>-1569.8263218750001</v>
      </c>
      <c r="N12" s="36"/>
      <c r="O12" s="46">
        <f>-O11*Inputs!$B$35</f>
        <v>-1648.3176379687502</v>
      </c>
      <c r="P12" s="2"/>
      <c r="Q12" s="46">
        <f>-Q11*Inputs!$B$35</f>
        <v>-1730.7335198671879</v>
      </c>
      <c r="R12" s="2"/>
      <c r="S12" s="46">
        <f>-S11*Inputs!$B$35</f>
        <v>-1817.2701958605471</v>
      </c>
      <c r="T12" s="2"/>
      <c r="U12" s="46">
        <f>-U11*Inputs!$B$35</f>
        <v>-1908.1337056535745</v>
      </c>
      <c r="V12" s="2"/>
      <c r="W12" s="46">
        <f>-W11*Inputs!$B$35</f>
        <v>-2003.5403909362533</v>
      </c>
      <c r="X12" s="2"/>
      <c r="Y12" s="46">
        <f>-Y11*Inputs!$B$35</f>
        <v>-2103.717410483066</v>
      </c>
      <c r="Z12" s="2"/>
      <c r="AA12" s="46">
        <f>-AA11*Inputs!$B$35</f>
        <v>-2208.9032810072199</v>
      </c>
      <c r="AB12" s="2"/>
      <c r="AC12" s="46">
        <f>-AC11*Inputs!$B$35</f>
        <v>-2319.3484450575811</v>
      </c>
      <c r="AD12" s="2"/>
      <c r="AE12" s="46">
        <f>-AE11*Inputs!$B$35</f>
        <v>-2435.3158673104604</v>
      </c>
      <c r="AF12" s="2"/>
      <c r="AG12" s="46">
        <f>-AG11*Inputs!$B$35</f>
        <v>-2557.0816606759836</v>
      </c>
    </row>
    <row r="13" spans="1:33" ht="14.25" customHeight="1">
      <c r="A13" s="4" t="s">
        <v>15</v>
      </c>
      <c r="B13" s="4"/>
      <c r="C13" s="19">
        <f>SUM(C11:C12)</f>
        <v>23370</v>
      </c>
      <c r="D13" s="14"/>
      <c r="E13" s="19">
        <f>SUM(E11:E12)</f>
        <v>24538.5</v>
      </c>
      <c r="F13" s="36"/>
      <c r="G13" s="19">
        <f>SUM(G11:G12)</f>
        <v>25765.424999999999</v>
      </c>
      <c r="H13" s="36"/>
      <c r="I13" s="19">
        <f>SUM(I11:I12)</f>
        <v>27053.696250000001</v>
      </c>
      <c r="J13" s="36"/>
      <c r="K13" s="19">
        <f>SUM(K11:K12)</f>
        <v>28406.381062500001</v>
      </c>
      <c r="L13" s="19"/>
      <c r="M13" s="19">
        <f>SUM(M11:M12)</f>
        <v>29826.700115625001</v>
      </c>
      <c r="N13" s="19"/>
      <c r="O13" s="19">
        <f>SUM(O11:O12)</f>
        <v>31318.035121406254</v>
      </c>
      <c r="P13" s="2"/>
      <c r="Q13" s="19">
        <f>SUM(Q11:Q12)</f>
        <v>32883.936877476568</v>
      </c>
      <c r="R13" s="2"/>
      <c r="S13" s="19">
        <f>SUM(S11:S12)</f>
        <v>34528.133721350394</v>
      </c>
      <c r="T13" s="2"/>
      <c r="U13" s="19">
        <f>SUM(U11:U12)</f>
        <v>36254.54040741791</v>
      </c>
      <c r="V13" s="2"/>
      <c r="W13" s="19">
        <f>SUM(W11:W12)</f>
        <v>38067.267427788815</v>
      </c>
      <c r="X13" s="2"/>
      <c r="Y13" s="19">
        <f>SUM(Y11:Y12)</f>
        <v>39970.63079917826</v>
      </c>
      <c r="Z13" s="2"/>
      <c r="AA13" s="19">
        <f>SUM(AA11:AA12)</f>
        <v>41969.162339137176</v>
      </c>
      <c r="AB13" s="2"/>
      <c r="AC13" s="19">
        <f>SUM(AC11:AC12)</f>
        <v>44067.620456094039</v>
      </c>
      <c r="AD13" s="2"/>
      <c r="AE13" s="19">
        <f>SUM(AE11:AE12)</f>
        <v>46271.001478898739</v>
      </c>
      <c r="AF13" s="2"/>
      <c r="AG13" s="19">
        <f>SUM(AG11:AG12)</f>
        <v>48584.551552843681</v>
      </c>
    </row>
    <row r="14" spans="1:33" ht="14.25" customHeight="1">
      <c r="A14" s="6"/>
      <c r="B14" s="6"/>
      <c r="C14" s="14"/>
      <c r="D14" s="6"/>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14.25" customHeight="1">
      <c r="A15" s="13" t="s">
        <v>16</v>
      </c>
      <c r="B15" s="6"/>
      <c r="C15" s="14"/>
      <c r="D15" s="6"/>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14.25" customHeight="1">
      <c r="A16" s="6" t="s">
        <v>18</v>
      </c>
      <c r="B16" s="6"/>
      <c r="C16" s="14">
        <f>Inputs!B42</f>
        <v>1246</v>
      </c>
      <c r="D16" s="14"/>
      <c r="E16" s="36">
        <f>C16*(1+Inputs!$B$39)</f>
        <v>1320.76</v>
      </c>
      <c r="F16" s="36"/>
      <c r="G16" s="36">
        <f>E16*(1+Inputs!$B$39)</f>
        <v>1400.0056</v>
      </c>
      <c r="H16" s="36"/>
      <c r="I16" s="36">
        <f>G16*(1+Inputs!$B$39)</f>
        <v>1484.005936</v>
      </c>
      <c r="J16" s="36"/>
      <c r="K16" s="36">
        <f>I16*(1+Inputs!$B$39)</f>
        <v>1573.0462921600001</v>
      </c>
      <c r="L16" s="36"/>
      <c r="M16" s="36">
        <f>K16*(1+Inputs!$B$39)</f>
        <v>1667.4290696896003</v>
      </c>
      <c r="N16" s="36"/>
      <c r="O16" s="36">
        <f>M16*(1+Inputs!$B$39)</f>
        <v>1767.4748138709763</v>
      </c>
      <c r="P16" s="2"/>
      <c r="Q16" s="36">
        <f>O16*(1+Inputs!$B$39)</f>
        <v>1873.523302703235</v>
      </c>
      <c r="R16" s="2"/>
      <c r="S16" s="36">
        <f>Q16*(1+Inputs!$B$39)</f>
        <v>1985.9347008654292</v>
      </c>
      <c r="T16" s="2"/>
      <c r="U16" s="36">
        <f>S16*(1+Inputs!$B$39)</f>
        <v>2105.0907829173552</v>
      </c>
      <c r="V16" s="2"/>
      <c r="W16" s="36">
        <f>U16*(1+Inputs!$B$39)</f>
        <v>2231.3962298923966</v>
      </c>
      <c r="X16" s="2"/>
      <c r="Y16" s="36">
        <f>W16*(1+Inputs!$B$39)</f>
        <v>2365.2800036859403</v>
      </c>
      <c r="Z16" s="2"/>
      <c r="AA16" s="36">
        <f>Y16*(1+Inputs!$B$39)</f>
        <v>2507.1968039070966</v>
      </c>
      <c r="AB16" s="2"/>
      <c r="AC16" s="36">
        <f>AA16*(1+Inputs!$B$39)</f>
        <v>2657.6286121415224</v>
      </c>
      <c r="AD16" s="2"/>
      <c r="AE16" s="36">
        <f>AC16*(1+Inputs!$B$39)</f>
        <v>2817.0863288700139</v>
      </c>
      <c r="AF16" s="2"/>
      <c r="AG16" s="36">
        <f>AE16*(1+Inputs!$B$39)</f>
        <v>2986.1115086022151</v>
      </c>
    </row>
    <row r="17" spans="1:33" ht="14.25" customHeight="1">
      <c r="A17" s="6" t="s">
        <v>27</v>
      </c>
      <c r="B17" s="6"/>
      <c r="C17" s="14">
        <f>Inputs!B43</f>
        <v>300</v>
      </c>
      <c r="D17" s="14"/>
      <c r="E17" s="36">
        <f t="shared" ref="E17:E30" si="0">C17*(1.03)</f>
        <v>309</v>
      </c>
      <c r="F17" s="36"/>
      <c r="G17" s="36">
        <f t="shared" ref="G17:G30" si="1">E17*(1.03)</f>
        <v>318.27</v>
      </c>
      <c r="H17" s="36"/>
      <c r="I17" s="36">
        <f t="shared" ref="I17:I30" si="2">G17*(1.03)</f>
        <v>327.81810000000002</v>
      </c>
      <c r="J17" s="36"/>
      <c r="K17" s="36">
        <f t="shared" ref="K17:K30" si="3">I17*(1.03)</f>
        <v>337.65264300000001</v>
      </c>
      <c r="L17" s="36"/>
      <c r="M17" s="36">
        <f t="shared" ref="M17:M30" si="4">K17*(1.03)</f>
        <v>347.78222228999999</v>
      </c>
      <c r="N17" s="36"/>
      <c r="O17" s="36">
        <f t="shared" ref="O17:O30" si="5">M17*(1.03)</f>
        <v>358.21568895870001</v>
      </c>
      <c r="P17" s="2"/>
      <c r="Q17" s="36">
        <f t="shared" ref="Q17:Q30" si="6">O17*(1.03)</f>
        <v>368.96215962746101</v>
      </c>
      <c r="R17" s="2"/>
      <c r="S17" s="36">
        <f t="shared" ref="S17:S30" si="7">Q17*(1.03)</f>
        <v>380.03102441628482</v>
      </c>
      <c r="T17" s="2"/>
      <c r="U17" s="36">
        <f t="shared" ref="U17:U30" si="8">S17*(1.03)</f>
        <v>391.4319551487734</v>
      </c>
      <c r="V17" s="2"/>
      <c r="W17" s="36">
        <f t="shared" ref="W17:W30" si="9">U17*(1.03)</f>
        <v>403.17491380323662</v>
      </c>
      <c r="X17" s="2"/>
      <c r="Y17" s="36">
        <f t="shared" ref="Y17:Y30" si="10">W17*(1.03)</f>
        <v>415.27016121733374</v>
      </c>
      <c r="Z17" s="2"/>
      <c r="AA17" s="36">
        <f t="shared" ref="AA17:AA30" si="11">Y17*(1.03)</f>
        <v>427.72826605385376</v>
      </c>
      <c r="AB17" s="2"/>
      <c r="AC17" s="36">
        <f t="shared" ref="AC17:AC30" si="12">AA17*(1.03)</f>
        <v>440.56011403546938</v>
      </c>
      <c r="AD17" s="2"/>
      <c r="AE17" s="36">
        <f t="shared" ref="AE17:AE30" si="13">AC17*(1.03)</f>
        <v>453.77691745653345</v>
      </c>
      <c r="AF17" s="2"/>
      <c r="AG17" s="36">
        <f t="shared" ref="AG17:AG30" si="14">AE17*(1.03)</f>
        <v>467.39022498022945</v>
      </c>
    </row>
    <row r="18" spans="1:33" ht="14.25" customHeight="1">
      <c r="A18" s="6" t="s">
        <v>38</v>
      </c>
      <c r="B18" s="6"/>
      <c r="C18" s="14">
        <f>Inputs!B44</f>
        <v>0</v>
      </c>
      <c r="D18" s="14"/>
      <c r="E18" s="36">
        <f t="shared" si="0"/>
        <v>0</v>
      </c>
      <c r="F18" s="36"/>
      <c r="G18" s="36">
        <f t="shared" si="1"/>
        <v>0</v>
      </c>
      <c r="H18" s="36"/>
      <c r="I18" s="36">
        <f t="shared" si="2"/>
        <v>0</v>
      </c>
      <c r="J18" s="36"/>
      <c r="K18" s="36">
        <f t="shared" si="3"/>
        <v>0</v>
      </c>
      <c r="L18" s="36"/>
      <c r="M18" s="36">
        <f t="shared" si="4"/>
        <v>0</v>
      </c>
      <c r="N18" s="36"/>
      <c r="O18" s="36">
        <f t="shared" si="5"/>
        <v>0</v>
      </c>
      <c r="P18" s="2"/>
      <c r="Q18" s="36">
        <f t="shared" si="6"/>
        <v>0</v>
      </c>
      <c r="R18" s="2"/>
      <c r="S18" s="36">
        <f t="shared" si="7"/>
        <v>0</v>
      </c>
      <c r="T18" s="2"/>
      <c r="U18" s="36">
        <f t="shared" si="8"/>
        <v>0</v>
      </c>
      <c r="V18" s="2"/>
      <c r="W18" s="36">
        <f t="shared" si="9"/>
        <v>0</v>
      </c>
      <c r="X18" s="2"/>
      <c r="Y18" s="36">
        <f t="shared" si="10"/>
        <v>0</v>
      </c>
      <c r="Z18" s="2"/>
      <c r="AA18" s="36">
        <f t="shared" si="11"/>
        <v>0</v>
      </c>
      <c r="AB18" s="2"/>
      <c r="AC18" s="36">
        <f t="shared" si="12"/>
        <v>0</v>
      </c>
      <c r="AD18" s="2"/>
      <c r="AE18" s="36">
        <f t="shared" si="13"/>
        <v>0</v>
      </c>
      <c r="AF18" s="2"/>
      <c r="AG18" s="36">
        <f t="shared" si="14"/>
        <v>0</v>
      </c>
    </row>
    <row r="19" spans="1:33" ht="14.25" customHeight="1">
      <c r="A19" s="6" t="s">
        <v>39</v>
      </c>
      <c r="B19" s="6"/>
      <c r="C19" s="14">
        <f>Inputs!B45</f>
        <v>1230</v>
      </c>
      <c r="D19" s="14"/>
      <c r="E19" s="36">
        <f t="shared" si="0"/>
        <v>1266.9000000000001</v>
      </c>
      <c r="F19" s="36"/>
      <c r="G19" s="36">
        <f t="shared" si="1"/>
        <v>1304.9070000000002</v>
      </c>
      <c r="H19" s="36"/>
      <c r="I19" s="36">
        <f t="shared" si="2"/>
        <v>1344.0542100000002</v>
      </c>
      <c r="J19" s="36"/>
      <c r="K19" s="36">
        <f t="shared" si="3"/>
        <v>1384.3758363000002</v>
      </c>
      <c r="L19" s="36"/>
      <c r="M19" s="36">
        <f t="shared" si="4"/>
        <v>1425.9071113890002</v>
      </c>
      <c r="N19" s="36"/>
      <c r="O19" s="36">
        <f t="shared" si="5"/>
        <v>1468.6843247306701</v>
      </c>
      <c r="P19" s="2"/>
      <c r="Q19" s="36">
        <f t="shared" si="6"/>
        <v>1512.7448544725903</v>
      </c>
      <c r="R19" s="2"/>
      <c r="S19" s="36">
        <f t="shared" si="7"/>
        <v>1558.127200106768</v>
      </c>
      <c r="T19" s="2"/>
      <c r="U19" s="36">
        <f t="shared" si="8"/>
        <v>1604.8710161099712</v>
      </c>
      <c r="V19" s="2"/>
      <c r="W19" s="36">
        <f t="shared" si="9"/>
        <v>1653.0171465932704</v>
      </c>
      <c r="X19" s="2"/>
      <c r="Y19" s="36">
        <f t="shared" si="10"/>
        <v>1702.6076609910685</v>
      </c>
      <c r="Z19" s="2"/>
      <c r="AA19" s="36">
        <f t="shared" si="11"/>
        <v>1753.6858908208008</v>
      </c>
      <c r="AB19" s="2"/>
      <c r="AC19" s="36">
        <f t="shared" si="12"/>
        <v>1806.2964675454248</v>
      </c>
      <c r="AD19" s="2"/>
      <c r="AE19" s="36">
        <f t="shared" si="13"/>
        <v>1860.4853615717875</v>
      </c>
      <c r="AF19" s="2"/>
      <c r="AG19" s="36">
        <f t="shared" si="14"/>
        <v>1916.2999224189412</v>
      </c>
    </row>
    <row r="20" spans="1:33" ht="14.25" customHeight="1">
      <c r="A20" s="6" t="s">
        <v>41</v>
      </c>
      <c r="B20" s="6"/>
      <c r="C20" s="14">
        <f>Inputs!B46</f>
        <v>0</v>
      </c>
      <c r="D20" s="14"/>
      <c r="E20" s="36">
        <f t="shared" si="0"/>
        <v>0</v>
      </c>
      <c r="F20" s="36"/>
      <c r="G20" s="36">
        <f t="shared" si="1"/>
        <v>0</v>
      </c>
      <c r="H20" s="36"/>
      <c r="I20" s="36">
        <f t="shared" si="2"/>
        <v>0</v>
      </c>
      <c r="J20" s="36"/>
      <c r="K20" s="36">
        <f t="shared" si="3"/>
        <v>0</v>
      </c>
      <c r="L20" s="36"/>
      <c r="M20" s="36">
        <f t="shared" si="4"/>
        <v>0</v>
      </c>
      <c r="N20" s="36"/>
      <c r="O20" s="36">
        <f t="shared" si="5"/>
        <v>0</v>
      </c>
      <c r="P20" s="2"/>
      <c r="Q20" s="36">
        <f t="shared" si="6"/>
        <v>0</v>
      </c>
      <c r="R20" s="2"/>
      <c r="S20" s="36">
        <f t="shared" si="7"/>
        <v>0</v>
      </c>
      <c r="T20" s="2"/>
      <c r="U20" s="36">
        <f t="shared" si="8"/>
        <v>0</v>
      </c>
      <c r="V20" s="2"/>
      <c r="W20" s="36">
        <f t="shared" si="9"/>
        <v>0</v>
      </c>
      <c r="X20" s="2"/>
      <c r="Y20" s="36">
        <f t="shared" si="10"/>
        <v>0</v>
      </c>
      <c r="Z20" s="2"/>
      <c r="AA20" s="36">
        <f t="shared" si="11"/>
        <v>0</v>
      </c>
      <c r="AB20" s="2"/>
      <c r="AC20" s="36">
        <f t="shared" si="12"/>
        <v>0</v>
      </c>
      <c r="AD20" s="2"/>
      <c r="AE20" s="36">
        <f t="shared" si="13"/>
        <v>0</v>
      </c>
      <c r="AF20" s="2"/>
      <c r="AG20" s="36">
        <f t="shared" si="14"/>
        <v>0</v>
      </c>
    </row>
    <row r="21" spans="1:33" ht="14.25" customHeight="1">
      <c r="A21" s="6" t="s">
        <v>42</v>
      </c>
      <c r="B21" s="6"/>
      <c r="C21" s="14">
        <f>Inputs!B47</f>
        <v>0</v>
      </c>
      <c r="D21" s="14"/>
      <c r="E21" s="36">
        <f t="shared" si="0"/>
        <v>0</v>
      </c>
      <c r="F21" s="36"/>
      <c r="G21" s="36">
        <f t="shared" si="1"/>
        <v>0</v>
      </c>
      <c r="H21" s="36"/>
      <c r="I21" s="36">
        <f t="shared" si="2"/>
        <v>0</v>
      </c>
      <c r="J21" s="36"/>
      <c r="K21" s="36">
        <f t="shared" si="3"/>
        <v>0</v>
      </c>
      <c r="L21" s="36"/>
      <c r="M21" s="36">
        <f t="shared" si="4"/>
        <v>0</v>
      </c>
      <c r="N21" s="36"/>
      <c r="O21" s="36">
        <f t="shared" si="5"/>
        <v>0</v>
      </c>
      <c r="P21" s="2"/>
      <c r="Q21" s="36">
        <f t="shared" si="6"/>
        <v>0</v>
      </c>
      <c r="R21" s="2"/>
      <c r="S21" s="36">
        <f t="shared" si="7"/>
        <v>0</v>
      </c>
      <c r="T21" s="2"/>
      <c r="U21" s="36">
        <f t="shared" si="8"/>
        <v>0</v>
      </c>
      <c r="V21" s="2"/>
      <c r="W21" s="36">
        <f t="shared" si="9"/>
        <v>0</v>
      </c>
      <c r="X21" s="2"/>
      <c r="Y21" s="36">
        <f t="shared" si="10"/>
        <v>0</v>
      </c>
      <c r="Z21" s="2"/>
      <c r="AA21" s="36">
        <f t="shared" si="11"/>
        <v>0</v>
      </c>
      <c r="AB21" s="2"/>
      <c r="AC21" s="36">
        <f t="shared" si="12"/>
        <v>0</v>
      </c>
      <c r="AD21" s="2"/>
      <c r="AE21" s="36">
        <f t="shared" si="13"/>
        <v>0</v>
      </c>
      <c r="AF21" s="2"/>
      <c r="AG21" s="36">
        <f t="shared" si="14"/>
        <v>0</v>
      </c>
    </row>
    <row r="22" spans="1:33" ht="14.25" customHeight="1">
      <c r="A22" s="6" t="s">
        <v>44</v>
      </c>
      <c r="B22" s="6"/>
      <c r="C22" s="14">
        <f>Inputs!B48</f>
        <v>0</v>
      </c>
      <c r="D22" s="14"/>
      <c r="E22" s="36">
        <f t="shared" si="0"/>
        <v>0</v>
      </c>
      <c r="F22" s="36"/>
      <c r="G22" s="36">
        <f t="shared" si="1"/>
        <v>0</v>
      </c>
      <c r="H22" s="36"/>
      <c r="I22" s="36">
        <f t="shared" si="2"/>
        <v>0</v>
      </c>
      <c r="J22" s="36"/>
      <c r="K22" s="36">
        <f t="shared" si="3"/>
        <v>0</v>
      </c>
      <c r="L22" s="36"/>
      <c r="M22" s="36">
        <f t="shared" si="4"/>
        <v>0</v>
      </c>
      <c r="N22" s="36"/>
      <c r="O22" s="36">
        <f t="shared" si="5"/>
        <v>0</v>
      </c>
      <c r="P22" s="2"/>
      <c r="Q22" s="36">
        <f t="shared" si="6"/>
        <v>0</v>
      </c>
      <c r="R22" s="2"/>
      <c r="S22" s="36">
        <f t="shared" si="7"/>
        <v>0</v>
      </c>
      <c r="T22" s="2"/>
      <c r="U22" s="36">
        <f t="shared" si="8"/>
        <v>0</v>
      </c>
      <c r="V22" s="2"/>
      <c r="W22" s="36">
        <f t="shared" si="9"/>
        <v>0</v>
      </c>
      <c r="X22" s="2"/>
      <c r="Y22" s="36">
        <f t="shared" si="10"/>
        <v>0</v>
      </c>
      <c r="Z22" s="2"/>
      <c r="AA22" s="36">
        <f t="shared" si="11"/>
        <v>0</v>
      </c>
      <c r="AB22" s="2"/>
      <c r="AC22" s="36">
        <f t="shared" si="12"/>
        <v>0</v>
      </c>
      <c r="AD22" s="2"/>
      <c r="AE22" s="36">
        <f t="shared" si="13"/>
        <v>0</v>
      </c>
      <c r="AF22" s="2"/>
      <c r="AG22" s="36">
        <f t="shared" si="14"/>
        <v>0</v>
      </c>
    </row>
    <row r="23" spans="1:33" ht="14.25" customHeight="1">
      <c r="A23" s="6" t="s">
        <v>47</v>
      </c>
      <c r="B23" s="6"/>
      <c r="C23" s="14">
        <f>Inputs!B49</f>
        <v>0</v>
      </c>
      <c r="D23" s="14"/>
      <c r="E23" s="36">
        <f t="shared" si="0"/>
        <v>0</v>
      </c>
      <c r="F23" s="36"/>
      <c r="G23" s="36">
        <f t="shared" si="1"/>
        <v>0</v>
      </c>
      <c r="H23" s="36"/>
      <c r="I23" s="36">
        <f t="shared" si="2"/>
        <v>0</v>
      </c>
      <c r="J23" s="36"/>
      <c r="K23" s="36">
        <f t="shared" si="3"/>
        <v>0</v>
      </c>
      <c r="L23" s="36"/>
      <c r="M23" s="36">
        <f t="shared" si="4"/>
        <v>0</v>
      </c>
      <c r="N23" s="36"/>
      <c r="O23" s="36">
        <f t="shared" si="5"/>
        <v>0</v>
      </c>
      <c r="P23" s="2"/>
      <c r="Q23" s="36">
        <f t="shared" si="6"/>
        <v>0</v>
      </c>
      <c r="R23" s="2"/>
      <c r="S23" s="36">
        <f t="shared" si="7"/>
        <v>0</v>
      </c>
      <c r="T23" s="2"/>
      <c r="U23" s="36">
        <f t="shared" si="8"/>
        <v>0</v>
      </c>
      <c r="V23" s="2"/>
      <c r="W23" s="36">
        <f t="shared" si="9"/>
        <v>0</v>
      </c>
      <c r="X23" s="2"/>
      <c r="Y23" s="36">
        <f t="shared" si="10"/>
        <v>0</v>
      </c>
      <c r="Z23" s="2"/>
      <c r="AA23" s="36">
        <f t="shared" si="11"/>
        <v>0</v>
      </c>
      <c r="AB23" s="2"/>
      <c r="AC23" s="36">
        <f t="shared" si="12"/>
        <v>0</v>
      </c>
      <c r="AD23" s="2"/>
      <c r="AE23" s="36">
        <f t="shared" si="13"/>
        <v>0</v>
      </c>
      <c r="AF23" s="2"/>
      <c r="AG23" s="36">
        <f t="shared" si="14"/>
        <v>0</v>
      </c>
    </row>
    <row r="24" spans="1:33" ht="14.25" customHeight="1">
      <c r="A24" s="6" t="s">
        <v>50</v>
      </c>
      <c r="B24" s="6"/>
      <c r="C24" s="14">
        <f>Inputs!B50</f>
        <v>0</v>
      </c>
      <c r="D24" s="14"/>
      <c r="E24" s="36">
        <f t="shared" si="0"/>
        <v>0</v>
      </c>
      <c r="F24" s="36"/>
      <c r="G24" s="36">
        <f t="shared" si="1"/>
        <v>0</v>
      </c>
      <c r="H24" s="36"/>
      <c r="I24" s="36">
        <f t="shared" si="2"/>
        <v>0</v>
      </c>
      <c r="J24" s="36"/>
      <c r="K24" s="36">
        <f t="shared" si="3"/>
        <v>0</v>
      </c>
      <c r="L24" s="36"/>
      <c r="M24" s="36">
        <f t="shared" si="4"/>
        <v>0</v>
      </c>
      <c r="N24" s="36"/>
      <c r="O24" s="36">
        <f t="shared" si="5"/>
        <v>0</v>
      </c>
      <c r="P24" s="2"/>
      <c r="Q24" s="36">
        <f t="shared" si="6"/>
        <v>0</v>
      </c>
      <c r="R24" s="2"/>
      <c r="S24" s="36">
        <f t="shared" si="7"/>
        <v>0</v>
      </c>
      <c r="T24" s="2"/>
      <c r="U24" s="36">
        <f t="shared" si="8"/>
        <v>0</v>
      </c>
      <c r="V24" s="2"/>
      <c r="W24" s="36">
        <f t="shared" si="9"/>
        <v>0</v>
      </c>
      <c r="X24" s="2"/>
      <c r="Y24" s="36">
        <f t="shared" si="10"/>
        <v>0</v>
      </c>
      <c r="Z24" s="2"/>
      <c r="AA24" s="36">
        <f t="shared" si="11"/>
        <v>0</v>
      </c>
      <c r="AB24" s="2"/>
      <c r="AC24" s="36">
        <f t="shared" si="12"/>
        <v>0</v>
      </c>
      <c r="AD24" s="2"/>
      <c r="AE24" s="36">
        <f t="shared" si="13"/>
        <v>0</v>
      </c>
      <c r="AF24" s="2"/>
      <c r="AG24" s="36">
        <f t="shared" si="14"/>
        <v>0</v>
      </c>
    </row>
    <row r="25" spans="1:33" ht="14.25" customHeight="1">
      <c r="A25" s="6" t="str">
        <f>Inputs!A51</f>
        <v>HOA Dues</v>
      </c>
      <c r="B25" s="6"/>
      <c r="C25" s="14">
        <f>Inputs!B51</f>
        <v>1680</v>
      </c>
      <c r="D25" s="14"/>
      <c r="E25" s="36">
        <f t="shared" si="0"/>
        <v>1730.4</v>
      </c>
      <c r="F25" s="36"/>
      <c r="G25" s="36">
        <f t="shared" si="1"/>
        <v>1782.3120000000001</v>
      </c>
      <c r="H25" s="36"/>
      <c r="I25" s="36">
        <f t="shared" si="2"/>
        <v>1835.7813600000002</v>
      </c>
      <c r="J25" s="36"/>
      <c r="K25" s="36">
        <f t="shared" si="3"/>
        <v>1890.8548008000002</v>
      </c>
      <c r="L25" s="36"/>
      <c r="M25" s="36">
        <f t="shared" si="4"/>
        <v>1947.5804448240003</v>
      </c>
      <c r="N25" s="36"/>
      <c r="O25" s="36">
        <f t="shared" si="5"/>
        <v>2006.0078581687203</v>
      </c>
      <c r="P25" s="2"/>
      <c r="Q25" s="36">
        <f t="shared" si="6"/>
        <v>2066.1880939137818</v>
      </c>
      <c r="R25" s="2"/>
      <c r="S25" s="36">
        <f t="shared" si="7"/>
        <v>2128.1737367311953</v>
      </c>
      <c r="T25" s="2"/>
      <c r="U25" s="36">
        <f t="shared" si="8"/>
        <v>2192.0189488331312</v>
      </c>
      <c r="V25" s="2"/>
      <c r="W25" s="36">
        <f t="shared" si="9"/>
        <v>2257.779517298125</v>
      </c>
      <c r="X25" s="2"/>
      <c r="Y25" s="36">
        <f t="shared" si="10"/>
        <v>2325.5129028170691</v>
      </c>
      <c r="Z25" s="2"/>
      <c r="AA25" s="36">
        <f t="shared" si="11"/>
        <v>2395.278289901581</v>
      </c>
      <c r="AB25" s="2"/>
      <c r="AC25" s="36">
        <f t="shared" si="12"/>
        <v>2467.1366385986285</v>
      </c>
      <c r="AD25" s="2"/>
      <c r="AE25" s="36">
        <f t="shared" si="13"/>
        <v>2541.1507377565872</v>
      </c>
      <c r="AF25" s="2"/>
      <c r="AG25" s="36">
        <f t="shared" si="14"/>
        <v>2617.385259889285</v>
      </c>
    </row>
    <row r="26" spans="1:33" ht="14.25" customHeight="1">
      <c r="A26" s="6" t="str">
        <f>Inputs!A52</f>
        <v>Other</v>
      </c>
      <c r="B26" s="6"/>
      <c r="C26" s="14">
        <f>Inputs!B52</f>
        <v>0</v>
      </c>
      <c r="D26" s="14"/>
      <c r="E26" s="36">
        <f t="shared" si="0"/>
        <v>0</v>
      </c>
      <c r="F26" s="36"/>
      <c r="G26" s="36">
        <f t="shared" si="1"/>
        <v>0</v>
      </c>
      <c r="H26" s="36"/>
      <c r="I26" s="36">
        <f t="shared" si="2"/>
        <v>0</v>
      </c>
      <c r="J26" s="36"/>
      <c r="K26" s="36">
        <f t="shared" si="3"/>
        <v>0</v>
      </c>
      <c r="L26" s="36"/>
      <c r="M26" s="36">
        <f t="shared" si="4"/>
        <v>0</v>
      </c>
      <c r="N26" s="36"/>
      <c r="O26" s="36">
        <f t="shared" si="5"/>
        <v>0</v>
      </c>
      <c r="P26" s="2"/>
      <c r="Q26" s="36">
        <f t="shared" si="6"/>
        <v>0</v>
      </c>
      <c r="R26" s="2"/>
      <c r="S26" s="36">
        <f t="shared" si="7"/>
        <v>0</v>
      </c>
      <c r="T26" s="2"/>
      <c r="U26" s="36">
        <f t="shared" si="8"/>
        <v>0</v>
      </c>
      <c r="V26" s="2"/>
      <c r="W26" s="36">
        <f t="shared" si="9"/>
        <v>0</v>
      </c>
      <c r="X26" s="2"/>
      <c r="Y26" s="36">
        <f t="shared" si="10"/>
        <v>0</v>
      </c>
      <c r="Z26" s="2"/>
      <c r="AA26" s="36">
        <f t="shared" si="11"/>
        <v>0</v>
      </c>
      <c r="AB26" s="2"/>
      <c r="AC26" s="36">
        <f t="shared" si="12"/>
        <v>0</v>
      </c>
      <c r="AD26" s="2"/>
      <c r="AE26" s="36">
        <f t="shared" si="13"/>
        <v>0</v>
      </c>
      <c r="AF26" s="2"/>
      <c r="AG26" s="36">
        <f t="shared" si="14"/>
        <v>0</v>
      </c>
    </row>
    <row r="27" spans="1:33" ht="14.25" customHeight="1">
      <c r="A27" s="6" t="str">
        <f>Inputs!A53</f>
        <v>Other</v>
      </c>
      <c r="B27" s="6"/>
      <c r="C27" s="14">
        <f>Inputs!B53</f>
        <v>0</v>
      </c>
      <c r="D27" s="14"/>
      <c r="E27" s="36">
        <f t="shared" si="0"/>
        <v>0</v>
      </c>
      <c r="F27" s="36"/>
      <c r="G27" s="36">
        <f t="shared" si="1"/>
        <v>0</v>
      </c>
      <c r="H27" s="36"/>
      <c r="I27" s="36">
        <f t="shared" si="2"/>
        <v>0</v>
      </c>
      <c r="J27" s="36"/>
      <c r="K27" s="36">
        <f t="shared" si="3"/>
        <v>0</v>
      </c>
      <c r="L27" s="36"/>
      <c r="M27" s="36">
        <f t="shared" si="4"/>
        <v>0</v>
      </c>
      <c r="N27" s="36"/>
      <c r="O27" s="36">
        <f t="shared" si="5"/>
        <v>0</v>
      </c>
      <c r="P27" s="2"/>
      <c r="Q27" s="36">
        <f t="shared" si="6"/>
        <v>0</v>
      </c>
      <c r="R27" s="2"/>
      <c r="S27" s="36">
        <f t="shared" si="7"/>
        <v>0</v>
      </c>
      <c r="T27" s="2"/>
      <c r="U27" s="36">
        <f t="shared" si="8"/>
        <v>0</v>
      </c>
      <c r="V27" s="2"/>
      <c r="W27" s="36">
        <f t="shared" si="9"/>
        <v>0</v>
      </c>
      <c r="X27" s="2"/>
      <c r="Y27" s="36">
        <f t="shared" si="10"/>
        <v>0</v>
      </c>
      <c r="Z27" s="2"/>
      <c r="AA27" s="36">
        <f t="shared" si="11"/>
        <v>0</v>
      </c>
      <c r="AB27" s="2"/>
      <c r="AC27" s="36">
        <f t="shared" si="12"/>
        <v>0</v>
      </c>
      <c r="AD27" s="2"/>
      <c r="AE27" s="36">
        <f t="shared" si="13"/>
        <v>0</v>
      </c>
      <c r="AF27" s="2"/>
      <c r="AG27" s="36">
        <f t="shared" si="14"/>
        <v>0</v>
      </c>
    </row>
    <row r="28" spans="1:33" ht="14.25" customHeight="1">
      <c r="A28" s="6" t="str">
        <f>Inputs!A54</f>
        <v>Other</v>
      </c>
      <c r="B28" s="6"/>
      <c r="C28" s="14">
        <f>Inputs!B54</f>
        <v>0</v>
      </c>
      <c r="D28" s="14"/>
      <c r="E28" s="36">
        <f t="shared" si="0"/>
        <v>0</v>
      </c>
      <c r="F28" s="36"/>
      <c r="G28" s="36">
        <f t="shared" si="1"/>
        <v>0</v>
      </c>
      <c r="H28" s="36"/>
      <c r="I28" s="36">
        <f t="shared" si="2"/>
        <v>0</v>
      </c>
      <c r="J28" s="36"/>
      <c r="K28" s="36">
        <f t="shared" si="3"/>
        <v>0</v>
      </c>
      <c r="L28" s="36"/>
      <c r="M28" s="36">
        <f t="shared" si="4"/>
        <v>0</v>
      </c>
      <c r="N28" s="36"/>
      <c r="O28" s="36">
        <f t="shared" si="5"/>
        <v>0</v>
      </c>
      <c r="P28" s="2"/>
      <c r="Q28" s="36">
        <f t="shared" si="6"/>
        <v>0</v>
      </c>
      <c r="R28" s="2"/>
      <c r="S28" s="36">
        <f t="shared" si="7"/>
        <v>0</v>
      </c>
      <c r="T28" s="2"/>
      <c r="U28" s="36">
        <f t="shared" si="8"/>
        <v>0</v>
      </c>
      <c r="V28" s="2"/>
      <c r="W28" s="36">
        <f t="shared" si="9"/>
        <v>0</v>
      </c>
      <c r="X28" s="2"/>
      <c r="Y28" s="36">
        <f t="shared" si="10"/>
        <v>0</v>
      </c>
      <c r="Z28" s="2"/>
      <c r="AA28" s="36">
        <f t="shared" si="11"/>
        <v>0</v>
      </c>
      <c r="AB28" s="2"/>
      <c r="AC28" s="36">
        <f t="shared" si="12"/>
        <v>0</v>
      </c>
      <c r="AD28" s="2"/>
      <c r="AE28" s="36">
        <f t="shared" si="13"/>
        <v>0</v>
      </c>
      <c r="AF28" s="2"/>
      <c r="AG28" s="36">
        <f t="shared" si="14"/>
        <v>0</v>
      </c>
    </row>
    <row r="29" spans="1:33" ht="14.25" customHeight="1">
      <c r="A29" s="6" t="str">
        <f>Inputs!A55</f>
        <v>Other</v>
      </c>
      <c r="B29" s="6"/>
      <c r="C29" s="14">
        <f>Inputs!B55</f>
        <v>0</v>
      </c>
      <c r="D29" s="14"/>
      <c r="E29" s="36">
        <f t="shared" si="0"/>
        <v>0</v>
      </c>
      <c r="F29" s="36"/>
      <c r="G29" s="36">
        <f t="shared" si="1"/>
        <v>0</v>
      </c>
      <c r="H29" s="36"/>
      <c r="I29" s="36">
        <f t="shared" si="2"/>
        <v>0</v>
      </c>
      <c r="J29" s="36"/>
      <c r="K29" s="36">
        <f t="shared" si="3"/>
        <v>0</v>
      </c>
      <c r="L29" s="36"/>
      <c r="M29" s="36">
        <f t="shared" si="4"/>
        <v>0</v>
      </c>
      <c r="N29" s="36"/>
      <c r="O29" s="36">
        <f t="shared" si="5"/>
        <v>0</v>
      </c>
      <c r="P29" s="2"/>
      <c r="Q29" s="36">
        <f t="shared" si="6"/>
        <v>0</v>
      </c>
      <c r="R29" s="2"/>
      <c r="S29" s="36">
        <f t="shared" si="7"/>
        <v>0</v>
      </c>
      <c r="T29" s="2"/>
      <c r="U29" s="36">
        <f t="shared" si="8"/>
        <v>0</v>
      </c>
      <c r="V29" s="2"/>
      <c r="W29" s="36">
        <f t="shared" si="9"/>
        <v>0</v>
      </c>
      <c r="X29" s="2"/>
      <c r="Y29" s="36">
        <f t="shared" si="10"/>
        <v>0</v>
      </c>
      <c r="Z29" s="2"/>
      <c r="AA29" s="36">
        <f t="shared" si="11"/>
        <v>0</v>
      </c>
      <c r="AB29" s="2"/>
      <c r="AC29" s="36">
        <f t="shared" si="12"/>
        <v>0</v>
      </c>
      <c r="AD29" s="2"/>
      <c r="AE29" s="36">
        <f t="shared" si="13"/>
        <v>0</v>
      </c>
      <c r="AF29" s="2"/>
      <c r="AG29" s="36">
        <f t="shared" si="14"/>
        <v>0</v>
      </c>
    </row>
    <row r="30" spans="1:33" ht="14.25" customHeight="1">
      <c r="A30" s="6" t="str">
        <f>Inputs!A56</f>
        <v>Other</v>
      </c>
      <c r="B30" s="6"/>
      <c r="C30" s="18">
        <f>Inputs!B56</f>
        <v>0</v>
      </c>
      <c r="D30" s="14"/>
      <c r="E30" s="46">
        <f t="shared" si="0"/>
        <v>0</v>
      </c>
      <c r="F30" s="36"/>
      <c r="G30" s="46">
        <f t="shared" si="1"/>
        <v>0</v>
      </c>
      <c r="H30" s="36"/>
      <c r="I30" s="46">
        <f t="shared" si="2"/>
        <v>0</v>
      </c>
      <c r="J30" s="36"/>
      <c r="K30" s="46">
        <f t="shared" si="3"/>
        <v>0</v>
      </c>
      <c r="L30" s="36"/>
      <c r="M30" s="46">
        <f t="shared" si="4"/>
        <v>0</v>
      </c>
      <c r="N30" s="36"/>
      <c r="O30" s="46">
        <f t="shared" si="5"/>
        <v>0</v>
      </c>
      <c r="P30" s="2"/>
      <c r="Q30" s="46">
        <f t="shared" si="6"/>
        <v>0</v>
      </c>
      <c r="R30" s="2"/>
      <c r="S30" s="46">
        <f t="shared" si="7"/>
        <v>0</v>
      </c>
      <c r="T30" s="2"/>
      <c r="U30" s="46">
        <f t="shared" si="8"/>
        <v>0</v>
      </c>
      <c r="V30" s="2"/>
      <c r="W30" s="46">
        <f t="shared" si="9"/>
        <v>0</v>
      </c>
      <c r="X30" s="2"/>
      <c r="Y30" s="46">
        <f t="shared" si="10"/>
        <v>0</v>
      </c>
      <c r="Z30" s="2"/>
      <c r="AA30" s="46">
        <f t="shared" si="11"/>
        <v>0</v>
      </c>
      <c r="AB30" s="2"/>
      <c r="AC30" s="46">
        <f t="shared" si="12"/>
        <v>0</v>
      </c>
      <c r="AD30" s="2"/>
      <c r="AE30" s="46">
        <f t="shared" si="13"/>
        <v>0</v>
      </c>
      <c r="AF30" s="2"/>
      <c r="AG30" s="46">
        <f t="shared" si="14"/>
        <v>0</v>
      </c>
    </row>
    <row r="31" spans="1:33" ht="14.25" customHeight="1">
      <c r="A31" s="4" t="s">
        <v>56</v>
      </c>
      <c r="B31" s="6"/>
      <c r="C31" s="19">
        <f>SUM(C16:C30)</f>
        <v>4456</v>
      </c>
      <c r="D31" s="14"/>
      <c r="E31" s="19">
        <f>SUM(E16:E30)</f>
        <v>4627.0599999999995</v>
      </c>
      <c r="F31" s="36"/>
      <c r="G31" s="19">
        <f>SUM(G16:G30)</f>
        <v>4805.4946</v>
      </c>
      <c r="H31" s="36"/>
      <c r="I31" s="19">
        <f>SUM(I16:I30)</f>
        <v>4991.6596060000002</v>
      </c>
      <c r="J31" s="36"/>
      <c r="K31" s="19">
        <f>SUM(K16:K30)</f>
        <v>5185.92957226</v>
      </c>
      <c r="L31" s="19"/>
      <c r="M31" s="19">
        <f>SUM(M16:M30)</f>
        <v>5388.698848192601</v>
      </c>
      <c r="N31" s="19"/>
      <c r="O31" s="19">
        <f>SUM(O16:O30)</f>
        <v>5600.3826857290669</v>
      </c>
      <c r="P31" s="2"/>
      <c r="Q31" s="19">
        <f>SUM(Q16:Q30)</f>
        <v>5821.4184107170677</v>
      </c>
      <c r="R31" s="2"/>
      <c r="S31" s="19">
        <f>SUM(S16:S30)</f>
        <v>6052.2666621196777</v>
      </c>
      <c r="T31" s="2"/>
      <c r="U31" s="19">
        <f>SUM(U16:U30)</f>
        <v>6293.4127030092313</v>
      </c>
      <c r="V31" s="2"/>
      <c r="W31" s="19">
        <f>SUM(W16:W30)</f>
        <v>6545.3678075870284</v>
      </c>
      <c r="X31" s="2"/>
      <c r="Y31" s="19">
        <f>SUM(Y16:Y30)</f>
        <v>6808.6707287114114</v>
      </c>
      <c r="Z31" s="2"/>
      <c r="AA31" s="19">
        <f>SUM(AA16:AA30)</f>
        <v>7083.8892506833317</v>
      </c>
      <c r="AB31" s="2"/>
      <c r="AC31" s="19">
        <f>SUM(AC16:AC30)</f>
        <v>7371.6218323210451</v>
      </c>
      <c r="AD31" s="2"/>
      <c r="AE31" s="19">
        <f>SUM(AE16:AE30)</f>
        <v>7672.4993456549219</v>
      </c>
      <c r="AF31" s="2"/>
      <c r="AG31" s="19">
        <f>SUM(AG16:AG30)</f>
        <v>7987.1869158906702</v>
      </c>
    </row>
    <row r="32" spans="1:33" ht="14.25" customHeight="1">
      <c r="A32" s="6"/>
      <c r="B32" s="6"/>
      <c r="C32" s="14"/>
      <c r="D32" s="14"/>
      <c r="E32" s="36"/>
      <c r="F32" s="36"/>
      <c r="G32" s="36"/>
      <c r="H32" s="36"/>
      <c r="I32" s="36"/>
      <c r="J32" s="36"/>
      <c r="K32" s="36"/>
      <c r="L32" s="36"/>
      <c r="M32" s="36"/>
      <c r="N32" s="36"/>
      <c r="O32" s="36"/>
      <c r="P32" s="2"/>
      <c r="Q32" s="36"/>
      <c r="R32" s="2"/>
      <c r="S32" s="36"/>
      <c r="T32" s="2"/>
      <c r="U32" s="36"/>
      <c r="V32" s="2"/>
      <c r="W32" s="36"/>
      <c r="X32" s="2"/>
      <c r="Y32" s="36"/>
      <c r="Z32" s="2"/>
      <c r="AA32" s="36"/>
      <c r="AB32" s="2"/>
      <c r="AC32" s="36"/>
      <c r="AD32" s="2"/>
      <c r="AE32" s="36"/>
      <c r="AF32" s="2"/>
      <c r="AG32" s="36"/>
    </row>
    <row r="33" spans="1:33" ht="14.25" customHeight="1">
      <c r="A33" s="4" t="s">
        <v>57</v>
      </c>
      <c r="B33" s="6"/>
      <c r="C33" s="19">
        <f>C13-C31</f>
        <v>18914</v>
      </c>
      <c r="D33" s="14"/>
      <c r="E33" s="19">
        <f>E13-E31</f>
        <v>19911.440000000002</v>
      </c>
      <c r="F33" s="36"/>
      <c r="G33" s="19">
        <f>G13-G31</f>
        <v>20959.930399999997</v>
      </c>
      <c r="H33" s="36"/>
      <c r="I33" s="19">
        <f>I13-I31</f>
        <v>22062.036644</v>
      </c>
      <c r="J33" s="36"/>
      <c r="K33" s="19">
        <f>K13-K31</f>
        <v>23220.451490240001</v>
      </c>
      <c r="L33" s="19"/>
      <c r="M33" s="19">
        <f>M13-M31</f>
        <v>24438.001267432399</v>
      </c>
      <c r="N33" s="19"/>
      <c r="O33" s="19">
        <f>O13-O31</f>
        <v>25717.652435677188</v>
      </c>
      <c r="P33" s="2"/>
      <c r="Q33" s="19">
        <f>Q13-Q31</f>
        <v>27062.518466759502</v>
      </c>
      <c r="R33" s="2"/>
      <c r="S33" s="19">
        <f>S13-S31</f>
        <v>28475.867059230717</v>
      </c>
      <c r="T33" s="2"/>
      <c r="U33" s="19">
        <f>U13-U31</f>
        <v>29961.127704408678</v>
      </c>
      <c r="V33" s="2"/>
      <c r="W33" s="19">
        <f>W13-W31</f>
        <v>31521.899620201788</v>
      </c>
      <c r="X33" s="2"/>
      <c r="Y33" s="19">
        <f>Y13-Y31</f>
        <v>33161.960070466848</v>
      </c>
      <c r="Z33" s="2"/>
      <c r="AA33" s="19">
        <f>AA13-AA31</f>
        <v>34885.273088453847</v>
      </c>
      <c r="AB33" s="2"/>
      <c r="AC33" s="19">
        <f>AC13-AC31</f>
        <v>36695.99862377299</v>
      </c>
      <c r="AD33" s="2"/>
      <c r="AE33" s="19">
        <f>AE13-AE31</f>
        <v>38598.502133243819</v>
      </c>
      <c r="AF33" s="2"/>
      <c r="AG33" s="19">
        <f>AG13-AG31</f>
        <v>40597.364636953011</v>
      </c>
    </row>
    <row r="34" spans="1:33" ht="14.25" customHeight="1">
      <c r="A34" s="2"/>
      <c r="B34" s="2"/>
      <c r="C34" s="36"/>
      <c r="D34" s="36"/>
      <c r="E34" s="36"/>
      <c r="F34" s="36"/>
      <c r="G34" s="36"/>
      <c r="H34" s="36"/>
      <c r="I34" s="36"/>
      <c r="J34" s="36"/>
      <c r="K34" s="36"/>
      <c r="L34" s="36"/>
      <c r="M34" s="36"/>
      <c r="N34" s="36"/>
      <c r="O34" s="36"/>
      <c r="P34" s="2"/>
      <c r="Q34" s="36"/>
      <c r="R34" s="2"/>
      <c r="S34" s="36"/>
      <c r="T34" s="2"/>
      <c r="U34" s="36"/>
      <c r="V34" s="2"/>
      <c r="W34" s="36"/>
      <c r="X34" s="2"/>
      <c r="Y34" s="36"/>
      <c r="Z34" s="2"/>
      <c r="AA34" s="36"/>
      <c r="AB34" s="2"/>
      <c r="AC34" s="36"/>
      <c r="AD34" s="2"/>
      <c r="AE34" s="36"/>
      <c r="AF34" s="2"/>
      <c r="AG34" s="36"/>
    </row>
    <row r="35" spans="1:33" ht="14.25" customHeight="1">
      <c r="A35" s="6" t="s">
        <v>58</v>
      </c>
      <c r="B35" s="2"/>
      <c r="C35" s="14">
        <f>IF(C40&gt;0,PMT(Inputs!B24/12,Inputs!B25*12,Inputs!B19,0)*12,0)</f>
        <v>-12676.030277025595</v>
      </c>
      <c r="D35" s="36"/>
      <c r="E35" s="14">
        <f>IF(C40&gt;0,PMT(Inputs!$B$24/12,Inputs!B25*12,Inputs!$B$19,0)*12,0)</f>
        <v>-12676.030277025595</v>
      </c>
      <c r="F35" s="36"/>
      <c r="G35" s="14">
        <f>IF(E40&gt;0,PMT(Inputs!$B$24/12,Inputs!B25*12,Inputs!$B$19,0)*12,0)</f>
        <v>-12676.030277025595</v>
      </c>
      <c r="H35" s="36"/>
      <c r="I35" s="14">
        <f>IF(G40&gt;0,PMT(Inputs!$B$24/12,Inputs!B25*12,Inputs!$B$19,0)*12,0)</f>
        <v>-12676.030277025595</v>
      </c>
      <c r="J35" s="36"/>
      <c r="K35" s="14">
        <f>IF(I40&gt;0,PMT(Inputs!$B$24/12,Inputs!B25*12,Inputs!$B$19,0)*12,)</f>
        <v>-12676.030277025595</v>
      </c>
      <c r="L35" s="14"/>
      <c r="M35" s="14">
        <f>IF(K40&gt;0,PMT(Inputs!B24/12,Inputs!B25*12,Inputs!B19,0)*12,0)</f>
        <v>-12676.030277025595</v>
      </c>
      <c r="N35" s="14"/>
      <c r="O35" s="14">
        <f>IF(M40&gt;0,PMT(Inputs!B24/12,Inputs!B25*12,Inputs!B19,0)*12,)</f>
        <v>-12676.030277025595</v>
      </c>
      <c r="P35" s="2"/>
      <c r="Q35" s="14">
        <f>IF(O40&gt;0,PMT(Inputs!B24/12,Inputs!B25*12,Inputs!B19,0)*12,)</f>
        <v>-12676.030277025595</v>
      </c>
      <c r="R35" s="2"/>
      <c r="S35" s="14">
        <f>IF(Q40&gt;0,PMT(Inputs!B24/12,Inputs!B25*12,Inputs!B19,0)*12,0)</f>
        <v>-12676.030277025595</v>
      </c>
      <c r="T35" s="2"/>
      <c r="U35" s="14">
        <f>IF(S40&gt;0,PMT(Inputs!B24/12,Inputs!B25*12,Inputs!B19,0)*12,0)</f>
        <v>-12676.030277025595</v>
      </c>
      <c r="V35" s="2"/>
      <c r="W35" s="14">
        <f>IF(U40&gt;0,PMT(Inputs!B24/12,Inputs!B25*12,Inputs!B19,0)*12,0)</f>
        <v>-12676.030277025595</v>
      </c>
      <c r="X35" s="2"/>
      <c r="Y35" s="14">
        <f>IF(W40&gt;0,PMT(Inputs!B24/12,Inputs!B25*12,Inputs!B19,0)*12,0)</f>
        <v>-12676.030277025595</v>
      </c>
      <c r="Z35" s="2"/>
      <c r="AA35" s="14">
        <f>IF(Y40&gt;0,PMT(Inputs!B24/12,Inputs!B25*12,Inputs!B19,0)*12,0)</f>
        <v>-12676.030277025595</v>
      </c>
      <c r="AB35" s="2"/>
      <c r="AC35" s="14">
        <f>IF(AA40&gt;0,PMT(Inputs!B24/12,Inputs!B25*12,Inputs!B19,0)*12,0)</f>
        <v>-12676.030277025595</v>
      </c>
      <c r="AD35" s="2"/>
      <c r="AE35" s="14">
        <f>IF(AC40&gt;0,PMT(Inputs!B24/12,Inputs!B25*12,Inputs!B19,0)*12,0)</f>
        <v>-12676.030277025595</v>
      </c>
      <c r="AF35" s="2"/>
      <c r="AG35" s="14">
        <f>IF(AE40&gt;0,PMT(Inputs!B24/12,Inputs!B25*12,Inputs!B19,0)*12,0)</f>
        <v>-12676.030277025595</v>
      </c>
    </row>
    <row r="36" spans="1:33" ht="14.25" customHeight="1">
      <c r="A36" s="2"/>
      <c r="B36" s="2"/>
      <c r="C36" s="36"/>
      <c r="D36" s="36"/>
      <c r="E36" s="36"/>
      <c r="F36" s="36"/>
      <c r="G36" s="36"/>
      <c r="H36" s="36"/>
      <c r="I36" s="36"/>
      <c r="J36" s="36"/>
      <c r="K36" s="36"/>
      <c r="L36" s="36"/>
      <c r="M36" s="14"/>
      <c r="N36" s="36"/>
      <c r="O36" s="36"/>
      <c r="P36" s="2"/>
      <c r="Q36" s="36"/>
      <c r="R36" s="2"/>
      <c r="S36" s="36"/>
      <c r="T36" s="2"/>
      <c r="U36" s="36"/>
      <c r="V36" s="2"/>
      <c r="W36" s="36"/>
      <c r="X36" s="2"/>
      <c r="Y36" s="36"/>
      <c r="Z36" s="2"/>
      <c r="AA36" s="36"/>
      <c r="AB36" s="2"/>
      <c r="AC36" s="36"/>
      <c r="AD36" s="2"/>
      <c r="AE36" s="36"/>
      <c r="AF36" s="2"/>
      <c r="AG36" s="36"/>
    </row>
    <row r="37" spans="1:33" ht="14.25" customHeight="1">
      <c r="A37" s="1" t="s">
        <v>67</v>
      </c>
      <c r="B37" s="40"/>
      <c r="C37" s="72">
        <f>C33+C35</f>
        <v>6237.9697229744052</v>
      </c>
      <c r="D37" s="36"/>
      <c r="E37" s="72">
        <f>E33+E35</f>
        <v>7235.4097229744075</v>
      </c>
      <c r="F37" s="36"/>
      <c r="G37" s="72">
        <f>G33+G35</f>
        <v>8283.9001229744026</v>
      </c>
      <c r="H37" s="36"/>
      <c r="I37" s="72">
        <f>I33+I35</f>
        <v>9386.006366974405</v>
      </c>
      <c r="J37" s="36"/>
      <c r="K37" s="72">
        <f>K33+K35</f>
        <v>10544.421213214406</v>
      </c>
      <c r="L37" s="73"/>
      <c r="M37" s="72">
        <f>M33+M35</f>
        <v>11761.970990406804</v>
      </c>
      <c r="N37" s="73"/>
      <c r="O37" s="72">
        <f>O33+O35</f>
        <v>13041.622158651593</v>
      </c>
      <c r="P37" s="2"/>
      <c r="Q37" s="72">
        <f>Q33+Q35</f>
        <v>14386.488189733907</v>
      </c>
      <c r="R37" s="2"/>
      <c r="S37" s="72">
        <f>S33+S35</f>
        <v>15799.836782205122</v>
      </c>
      <c r="T37" s="2"/>
      <c r="U37" s="72">
        <f>U33+U35</f>
        <v>17285.097427383083</v>
      </c>
      <c r="V37" s="2"/>
      <c r="W37" s="72">
        <f>W33+W35</f>
        <v>18845.869343176193</v>
      </c>
      <c r="X37" s="2"/>
      <c r="Y37" s="72">
        <f>Y33+Y35</f>
        <v>20485.929793441253</v>
      </c>
      <c r="Z37" s="2"/>
      <c r="AA37" s="72">
        <f>AA33+AA35</f>
        <v>22209.242811428252</v>
      </c>
      <c r="AB37" s="2"/>
      <c r="AC37" s="72">
        <f>AC33+AC35</f>
        <v>24019.968346747395</v>
      </c>
      <c r="AD37" s="2"/>
      <c r="AE37" s="72">
        <f>AE33+AE35</f>
        <v>25922.471856218224</v>
      </c>
      <c r="AF37" s="2"/>
      <c r="AG37" s="72">
        <f>AG33+AG35</f>
        <v>27921.334359927416</v>
      </c>
    </row>
    <row r="38" spans="1:33" ht="14.25" customHeight="1">
      <c r="A38" s="2"/>
      <c r="B38" s="2"/>
      <c r="C38" s="36"/>
      <c r="D38" s="36"/>
      <c r="E38" s="36"/>
      <c r="F38" s="36"/>
      <c r="G38" s="36"/>
      <c r="H38" s="36"/>
      <c r="I38" s="36"/>
      <c r="J38" s="36"/>
      <c r="K38" s="36"/>
      <c r="L38" s="36"/>
      <c r="M38" s="36"/>
      <c r="N38" s="36"/>
      <c r="O38" s="36"/>
      <c r="P38" s="2"/>
      <c r="Q38" s="36"/>
      <c r="R38" s="2"/>
      <c r="S38" s="36"/>
      <c r="T38" s="2"/>
      <c r="U38" s="36"/>
      <c r="V38" s="2"/>
      <c r="W38" s="36"/>
      <c r="X38" s="2"/>
      <c r="Y38" s="36"/>
      <c r="Z38" s="2"/>
      <c r="AA38" s="36"/>
      <c r="AB38" s="2"/>
      <c r="AC38" s="36"/>
      <c r="AD38" s="2"/>
      <c r="AE38" s="36"/>
      <c r="AF38" s="2"/>
      <c r="AG38" s="36"/>
    </row>
    <row r="39" spans="1:33" ht="14.25" customHeight="1">
      <c r="A39" s="2" t="s">
        <v>100</v>
      </c>
      <c r="B39" s="2"/>
      <c r="C39" s="14">
        <f>Inputs!B15*(1+Inputs!B39)</f>
        <v>286200</v>
      </c>
      <c r="D39" s="14"/>
      <c r="E39" s="14">
        <f>C39*(1+Inputs!$B$39)</f>
        <v>303372</v>
      </c>
      <c r="F39" s="14"/>
      <c r="G39" s="14">
        <f>E39*(1+Inputs!$B$39)</f>
        <v>321574.32</v>
      </c>
      <c r="H39" s="14"/>
      <c r="I39" s="14">
        <f>G39*(1+Inputs!$B$39)</f>
        <v>340868.77920000005</v>
      </c>
      <c r="J39" s="14"/>
      <c r="K39" s="14">
        <f>I39*(1+Inputs!$B$39)</f>
        <v>361320.90595200006</v>
      </c>
      <c r="L39" s="14"/>
      <c r="M39" s="14">
        <f>K39*(1+Inputs!$B$39)</f>
        <v>383000.16030912008</v>
      </c>
      <c r="N39" s="14"/>
      <c r="O39" s="14">
        <f>M39*(1+Inputs!$B$39)</f>
        <v>405980.1699276673</v>
      </c>
      <c r="P39" s="2"/>
      <c r="Q39" s="14">
        <f>O39*(1+Inputs!$B$39)</f>
        <v>430338.98012332735</v>
      </c>
      <c r="R39" s="2"/>
      <c r="S39" s="14">
        <f>Q39*(1+Inputs!$B$39)</f>
        <v>456159.31893072702</v>
      </c>
      <c r="T39" s="2"/>
      <c r="U39" s="14">
        <f>S39*(1+Inputs!$B$39)</f>
        <v>483528.87806657067</v>
      </c>
      <c r="V39" s="2"/>
      <c r="W39" s="14">
        <f>U39*(1+Inputs!$B$39)</f>
        <v>512540.61075056496</v>
      </c>
      <c r="X39" s="2"/>
      <c r="Y39" s="14">
        <f>W39*(1+Inputs!$B$39)</f>
        <v>543293.04739559884</v>
      </c>
      <c r="Z39" s="2"/>
      <c r="AA39" s="14">
        <f>Y39*(1+Inputs!$B$39)</f>
        <v>575890.63023933477</v>
      </c>
      <c r="AB39" s="2"/>
      <c r="AC39" s="14">
        <f>AA39*(1+Inputs!$B$39)</f>
        <v>610444.06805369491</v>
      </c>
      <c r="AD39" s="2"/>
      <c r="AE39" s="14">
        <f>AC39*(1+Inputs!$B$39)</f>
        <v>647070.71213691658</v>
      </c>
      <c r="AF39" s="2"/>
      <c r="AG39" s="14">
        <f>AE39*(1+Inputs!$B$39)</f>
        <v>685894.95486513164</v>
      </c>
    </row>
    <row r="40" spans="1:33" ht="14.25" customHeight="1">
      <c r="A40" s="2" t="s">
        <v>101</v>
      </c>
      <c r="B40" s="2"/>
      <c r="C40" s="74">
        <f>Inputs!B19+CUMPRINC(Inputs!$B$24/12,Inputs!B25*12,Inputs!$B$19,1,12,0)</f>
        <v>199375.27409608665</v>
      </c>
      <c r="D40" s="14"/>
      <c r="E40" s="75">
        <f>C40+CUMPRINC(Inputs!$B$24/12,Inputs!B25*12,Inputs!$B$19,13,24,0)</f>
        <v>196098.84936943921</v>
      </c>
      <c r="F40" s="14"/>
      <c r="G40" s="74">
        <f>E40+CUMPRINC(Inputs!$B$24/12,Inputs!B25*12,Inputs!$B$19,25,36,0)</f>
        <v>192663.36116359613</v>
      </c>
      <c r="H40" s="14"/>
      <c r="I40" s="75">
        <f>G40+CUMPRINC(Inputs!$B$24/12,Inputs!B25*12,Inputs!$B$19,37,48,0)</f>
        <v>189061.08728362704</v>
      </c>
      <c r="J40" s="14"/>
      <c r="K40" s="74">
        <f>I40+CUMPRINC(Inputs!$B$24/12,Inputs!B25*12,Inputs!$B$19,49,60,0)</f>
        <v>185283.93063839761</v>
      </c>
      <c r="L40" s="14"/>
      <c r="M40" s="75">
        <f>K40+CUMPRINC(Inputs!$B$24/12,Inputs!B25*12,Inputs!$B$19,61,72,0)</f>
        <v>181323.40104015302</v>
      </c>
      <c r="N40" s="14"/>
      <c r="O40" s="74">
        <f>M40+CUMPRINC(Inputs!$B$24/12,Inputs!B25*12,Inputs!$B$19,73,84,0)</f>
        <v>177170.59612050996</v>
      </c>
      <c r="P40" s="2"/>
      <c r="Q40" s="75">
        <f>O40+CUMPRINC(Inputs!$B$24/12,Inputs!B25*12,Inputs!$B$19,85,96,0)</f>
        <v>172816.18131996016</v>
      </c>
      <c r="R40" s="2"/>
      <c r="S40" s="74">
        <f>Q40+CUMPRINC(Inputs!$B$24/12,Inputs!B25*12,Inputs!$B$19,97,108,0)</f>
        <v>168250.36890590706</v>
      </c>
      <c r="T40" s="2"/>
      <c r="U40" s="75">
        <f>S40+CUMPRINC(Inputs!$B$24/12,Inputs!B25*12,Inputs!$B$19,109,120,0)</f>
        <v>163462.89597207235</v>
      </c>
      <c r="V40" s="2"/>
      <c r="W40" s="74">
        <f>U40+CUMPRINC(Inputs!$B$24/12,Inputs!B25*12,Inputs!$B$19,121,132,0)</f>
        <v>158443.00136982044</v>
      </c>
      <c r="X40" s="2"/>
      <c r="Y40" s="75">
        <f>W40+CUMPRINC(Inputs!$B$24/12,Inputs!B25*12,Inputs!$B$19,133,144,0)</f>
        <v>153179.40151954757</v>
      </c>
      <c r="Z40" s="2"/>
      <c r="AA40" s="74">
        <f>Y40+CUMPRINC(Inputs!$B$24/12,Inputs!B25*12,Inputs!$B$19,145,156,0)</f>
        <v>147660.26504776505</v>
      </c>
      <c r="AB40" s="2"/>
      <c r="AC40" s="75">
        <f>AA40+CUMPRINC(Inputs!$B$24/12,Inputs!B25*12,Inputs!$B$19,158,169,0)</f>
        <v>141850.27900573279</v>
      </c>
      <c r="AD40" s="2"/>
      <c r="AE40" s="74">
        <f>AC40+CUMPRINC(Inputs!$B$24/12,Inputs!B25*12,Inputs!$B$19,169,180,0)</f>
        <v>135782.24973266892</v>
      </c>
      <c r="AF40" s="2"/>
      <c r="AG40" s="76">
        <v>0</v>
      </c>
    </row>
    <row r="41" spans="1:33" ht="14.25" customHeight="1">
      <c r="A41" s="2" t="s">
        <v>102</v>
      </c>
      <c r="B41" s="2"/>
      <c r="C41" s="77">
        <f>C39-C40</f>
        <v>86824.72590391335</v>
      </c>
      <c r="D41" s="14"/>
      <c r="E41" s="77">
        <f>E39-E40</f>
        <v>107273.15063056079</v>
      </c>
      <c r="F41" s="14"/>
      <c r="G41" s="77">
        <f>G39-G40</f>
        <v>128910.95883640388</v>
      </c>
      <c r="H41" s="14"/>
      <c r="I41" s="77">
        <f>I39-I40</f>
        <v>151807.69191637301</v>
      </c>
      <c r="J41" s="14"/>
      <c r="K41" s="77">
        <f>K39-K40</f>
        <v>176036.97531360245</v>
      </c>
      <c r="L41" s="14"/>
      <c r="M41" s="77">
        <f>M39-M40</f>
        <v>201676.75926896706</v>
      </c>
      <c r="N41" s="14"/>
      <c r="O41" s="77">
        <f>O39-O40</f>
        <v>228809.57380715734</v>
      </c>
      <c r="P41" s="2"/>
      <c r="Q41" s="77">
        <f>Q39-Q40</f>
        <v>257522.79880336719</v>
      </c>
      <c r="R41" s="2"/>
      <c r="S41" s="77">
        <f>S39-S40</f>
        <v>287908.95002481993</v>
      </c>
      <c r="T41" s="2"/>
      <c r="U41" s="77">
        <f>U39-U40</f>
        <v>320065.98209449835</v>
      </c>
      <c r="V41" s="2"/>
      <c r="W41" s="77">
        <f>W39-W40</f>
        <v>354097.60938074451</v>
      </c>
      <c r="X41" s="2"/>
      <c r="Y41" s="77">
        <f>Y39-Y40</f>
        <v>390113.64587605128</v>
      </c>
      <c r="Z41" s="2"/>
      <c r="AA41" s="77">
        <f>AA39-AA40</f>
        <v>428230.36519156973</v>
      </c>
      <c r="AB41" s="2"/>
      <c r="AC41" s="77">
        <f>AC39-AC40</f>
        <v>468593.78904796211</v>
      </c>
      <c r="AD41" s="2"/>
      <c r="AE41" s="77">
        <f>AE39-AE40</f>
        <v>511288.46240424766</v>
      </c>
      <c r="AF41" s="2"/>
      <c r="AG41" s="77">
        <f>AG39-AG40</f>
        <v>685894.95486513164</v>
      </c>
    </row>
    <row r="42" spans="1:33" ht="14.25" customHeight="1">
      <c r="A42" s="27" t="s">
        <v>103</v>
      </c>
      <c r="B42" s="2"/>
      <c r="C42" s="78">
        <f>C41+C37</f>
        <v>93062.695626887755</v>
      </c>
      <c r="D42" s="14"/>
      <c r="E42" s="78">
        <f>E41+E37</f>
        <v>114508.5603535352</v>
      </c>
      <c r="F42" s="14"/>
      <c r="G42" s="78">
        <f>G41+G37</f>
        <v>137194.85895937827</v>
      </c>
      <c r="H42" s="14"/>
      <c r="I42" s="78">
        <f>I41+I37</f>
        <v>161193.69828334742</v>
      </c>
      <c r="J42" s="14"/>
      <c r="K42" s="78">
        <f>K41+K37</f>
        <v>186581.39652681685</v>
      </c>
      <c r="L42" s="73"/>
      <c r="M42" s="78">
        <f>M41+M37</f>
        <v>213438.73025937387</v>
      </c>
      <c r="N42" s="73"/>
      <c r="O42" s="78">
        <f>O41+O37</f>
        <v>241851.19596580893</v>
      </c>
      <c r="P42" s="2"/>
      <c r="Q42" s="78">
        <f>Q41+Q37</f>
        <v>271909.28699310112</v>
      </c>
      <c r="R42" s="2"/>
      <c r="S42" s="78">
        <f>S41+S37</f>
        <v>303708.78680702508</v>
      </c>
      <c r="T42" s="2"/>
      <c r="U42" s="78">
        <f>U41+U37</f>
        <v>337351.07952188142</v>
      </c>
      <c r="V42" s="2"/>
      <c r="W42" s="78">
        <f>W41+W37</f>
        <v>372943.47872392071</v>
      </c>
      <c r="X42" s="2"/>
      <c r="Y42" s="78">
        <f>Y41+Y37</f>
        <v>410599.57566949254</v>
      </c>
      <c r="Z42" s="2"/>
      <c r="AA42" s="78">
        <f>AA41+AA37</f>
        <v>450439.60800299799</v>
      </c>
      <c r="AB42" s="2"/>
      <c r="AC42" s="78">
        <f>AC41+AC37</f>
        <v>492613.75739470951</v>
      </c>
      <c r="AD42" s="2"/>
      <c r="AE42" s="78">
        <f>AE41+AE37</f>
        <v>537210.9342604659</v>
      </c>
      <c r="AF42" s="2"/>
      <c r="AG42" s="78">
        <f>AG41+AG37</f>
        <v>713816.2892250591</v>
      </c>
    </row>
    <row r="43" spans="1:33" ht="14.25" hidden="1" customHeight="1">
      <c r="A43" s="27" t="s">
        <v>104</v>
      </c>
      <c r="B43" s="2"/>
      <c r="C43" s="14">
        <f>$I$7</f>
        <v>71895</v>
      </c>
      <c r="D43" s="14"/>
      <c r="E43" s="14">
        <f>$I$7</f>
        <v>71895</v>
      </c>
      <c r="F43" s="14"/>
      <c r="G43" s="14">
        <f>$I$7</f>
        <v>71895</v>
      </c>
      <c r="H43" s="14"/>
      <c r="I43" s="14">
        <f>$I$7</f>
        <v>71895</v>
      </c>
      <c r="J43" s="14"/>
      <c r="K43" s="14">
        <f>$I$7</f>
        <v>71895</v>
      </c>
      <c r="L43" s="14"/>
      <c r="M43" s="14">
        <f>$I$7</f>
        <v>71895</v>
      </c>
      <c r="N43" s="14"/>
      <c r="O43" s="14">
        <f>$I$7</f>
        <v>71895</v>
      </c>
      <c r="P43" s="2"/>
      <c r="Q43" s="14">
        <f>$I$7</f>
        <v>71895</v>
      </c>
      <c r="R43" s="2"/>
      <c r="S43" s="14">
        <f>$I$7</f>
        <v>71895</v>
      </c>
      <c r="T43" s="2"/>
      <c r="U43" s="14">
        <f>$I$7</f>
        <v>71895</v>
      </c>
      <c r="V43" s="2"/>
      <c r="W43" s="14">
        <f>$I$7</f>
        <v>71895</v>
      </c>
      <c r="X43" s="2"/>
      <c r="Y43" s="14">
        <f>$I$7</f>
        <v>71895</v>
      </c>
      <c r="Z43" s="2"/>
      <c r="AA43" s="14">
        <f>$I$7</f>
        <v>71895</v>
      </c>
      <c r="AB43" s="2"/>
      <c r="AC43" s="14">
        <f>$I$7</f>
        <v>71895</v>
      </c>
      <c r="AD43" s="2"/>
      <c r="AE43" s="14">
        <f>$I$7</f>
        <v>71895</v>
      </c>
      <c r="AF43" s="2"/>
      <c r="AG43" s="14">
        <f>$I$7</f>
        <v>71895</v>
      </c>
    </row>
    <row r="44" spans="1:33" ht="14.25" customHeight="1">
      <c r="A44" s="27" t="s">
        <v>105</v>
      </c>
      <c r="B44" s="2"/>
      <c r="C44" s="79">
        <f>(C41-C43+C37)/I7</f>
        <v>0.29442514259528135</v>
      </c>
      <c r="D44" s="14"/>
      <c r="E44" s="79">
        <f>(E41-C41+E37)/$I$7</f>
        <v>0.38505924542209957</v>
      </c>
      <c r="F44" s="14"/>
      <c r="G44" s="79">
        <f>(G41-E41+G37)/$I$7</f>
        <v>0.41618622058303761</v>
      </c>
      <c r="H44" s="14"/>
      <c r="I44" s="79">
        <f>(I41-G41+I37)/$I$7</f>
        <v>0.4490262110987347</v>
      </c>
      <c r="J44" s="14"/>
      <c r="K44" s="79">
        <f>(K41-I41+K37)/$I$7</f>
        <v>0.48367347674308153</v>
      </c>
      <c r="L44" s="79"/>
      <c r="M44" s="79">
        <f>(M41-K41+M37)/$I$7</f>
        <v>0.52022748377176997</v>
      </c>
      <c r="N44" s="79"/>
      <c r="O44" s="79">
        <f>(O41-M41+O37)/$I$7</f>
        <v>0.55879319419767548</v>
      </c>
      <c r="P44" s="2"/>
      <c r="Q44" s="79">
        <f>(Q41-O41+Q37)/$I$7</f>
        <v>0.59948137124895684</v>
      </c>
      <c r="R44" s="2"/>
      <c r="S44" s="79">
        <f>(S41-Q41+S37)/$I$7</f>
        <v>0.64240890192166167</v>
      </c>
      <c r="T44" s="2"/>
      <c r="U44" s="79">
        <f>(U41-S41+U37)/$I$7</f>
        <v>0.68769913759039569</v>
      </c>
      <c r="V44" s="2"/>
      <c r="W44" s="79">
        <f>(W41-U41+W37)/$I$7</f>
        <v>0.73548225369528275</v>
      </c>
      <c r="X44" s="2"/>
      <c r="Y44" s="79">
        <f>(Y41-W41+Y37)/$I$7</f>
        <v>0.78589562958130632</v>
      </c>
      <c r="Z44" s="2"/>
      <c r="AA44" s="79">
        <f>(AA41-Y41+AA37)/$I$7</f>
        <v>0.83908424962718831</v>
      </c>
      <c r="AB44" s="2"/>
      <c r="AC44" s="79">
        <f>(AC41-AA41+AC37)/$I$7</f>
        <v>0.89551974689672131</v>
      </c>
      <c r="AD44" s="2"/>
      <c r="AE44" s="79">
        <f>(AE41-AC41+AE37)/$I$7</f>
        <v>0.95440775036516834</v>
      </c>
      <c r="AF44" s="2"/>
      <c r="AG44" s="79">
        <f>(AG41-AE41+AG37)/$I$7</f>
        <v>2.8169946007484721</v>
      </c>
    </row>
    <row r="45" spans="1:33" ht="14.25" customHeight="1">
      <c r="A45" s="2"/>
      <c r="B45" s="2"/>
      <c r="C45" s="80"/>
      <c r="D45" s="14"/>
      <c r="E45" s="80"/>
      <c r="F45" s="14"/>
      <c r="G45" s="80"/>
      <c r="H45" s="14"/>
      <c r="I45" s="80"/>
      <c r="J45" s="14"/>
      <c r="K45" s="80"/>
      <c r="L45" s="80"/>
      <c r="M45" s="80"/>
      <c r="N45" s="80"/>
      <c r="O45" s="80"/>
      <c r="P45" s="2"/>
      <c r="Q45" s="80"/>
      <c r="R45" s="2"/>
      <c r="S45" s="80"/>
      <c r="T45" s="2"/>
      <c r="U45" s="80"/>
      <c r="V45" s="2"/>
      <c r="W45" s="80"/>
      <c r="X45" s="2"/>
      <c r="Y45" s="80"/>
      <c r="Z45" s="2"/>
      <c r="AA45" s="80"/>
      <c r="AB45" s="2"/>
      <c r="AC45" s="80"/>
      <c r="AD45" s="2"/>
      <c r="AE45" s="80"/>
      <c r="AF45" s="2"/>
      <c r="AG45" s="80"/>
    </row>
    <row r="46" spans="1:33" ht="14.25" customHeight="1">
      <c r="A46" s="27" t="s">
        <v>106</v>
      </c>
      <c r="B46" s="2"/>
      <c r="C46" s="82">
        <f>C37</f>
        <v>6237.9697229744052</v>
      </c>
      <c r="D46" s="83"/>
      <c r="E46" s="82">
        <f>E37+C46</f>
        <v>13473.379445948813</v>
      </c>
      <c r="F46" s="83"/>
      <c r="G46" s="82">
        <f>G37+E46</f>
        <v>21757.279568923215</v>
      </c>
      <c r="H46" s="83"/>
      <c r="I46" s="82">
        <f>I37+G46</f>
        <v>31143.28593589762</v>
      </c>
      <c r="J46" s="83"/>
      <c r="K46" s="82">
        <f>K37+I46</f>
        <v>41687.70714911203</v>
      </c>
      <c r="L46" s="83"/>
      <c r="M46" s="82">
        <f>M37+K46</f>
        <v>53449.67813951883</v>
      </c>
      <c r="N46" s="83"/>
      <c r="O46" s="82">
        <f>O37+M46</f>
        <v>66491.300298170419</v>
      </c>
      <c r="P46" s="2"/>
      <c r="Q46" s="82">
        <f>Q37+O46</f>
        <v>80877.788487904327</v>
      </c>
      <c r="R46" s="2"/>
      <c r="S46" s="82">
        <f>S37+Q46</f>
        <v>96677.625270109449</v>
      </c>
      <c r="T46" s="2"/>
      <c r="U46" s="82">
        <f>U37+S46</f>
        <v>113962.72269749253</v>
      </c>
      <c r="V46" s="2"/>
      <c r="W46" s="82">
        <f>W37+U46</f>
        <v>132808.59204066871</v>
      </c>
      <c r="X46" s="2"/>
      <c r="Y46" s="82">
        <f>Y37+W46</f>
        <v>153294.52183410997</v>
      </c>
      <c r="Z46" s="2"/>
      <c r="AA46" s="82">
        <f>AA37+Y46</f>
        <v>175503.76464553823</v>
      </c>
      <c r="AB46" s="2"/>
      <c r="AC46" s="82">
        <f>AC37+AA46</f>
        <v>199523.73299228563</v>
      </c>
      <c r="AD46" s="2"/>
      <c r="AE46" s="82">
        <f>AE37+AC46</f>
        <v>225446.20484850387</v>
      </c>
      <c r="AF46" s="2"/>
      <c r="AG46" s="82">
        <f>AG37+AE46</f>
        <v>253367.53920843129</v>
      </c>
    </row>
    <row r="47" spans="1:33" ht="14.25" customHeight="1">
      <c r="A47" s="27" t="s">
        <v>107</v>
      </c>
      <c r="B47" s="2"/>
      <c r="C47" s="84">
        <f>C46/$I$7</f>
        <v>8.6765000667284306E-2</v>
      </c>
      <c r="D47" s="85"/>
      <c r="E47" s="84">
        <f>E46/$I$7</f>
        <v>0.18740356695109275</v>
      </c>
      <c r="F47" s="85"/>
      <c r="G47" s="84">
        <f>G46/$I$7</f>
        <v>0.30262576770183203</v>
      </c>
      <c r="H47" s="85"/>
      <c r="I47" s="84">
        <f>I46/$I$7</f>
        <v>0.43317735497458265</v>
      </c>
      <c r="J47" s="85"/>
      <c r="K47" s="84">
        <f>K46/$I$7</f>
        <v>0.57984153486490064</v>
      </c>
      <c r="L47" s="84"/>
      <c r="M47" s="84">
        <f>M46/$I$7</f>
        <v>0.74344082536363909</v>
      </c>
      <c r="N47" s="84"/>
      <c r="O47" s="84">
        <f>O46/$I$7</f>
        <v>0.92483900546867537</v>
      </c>
      <c r="P47" s="2"/>
      <c r="Q47" s="84">
        <f>Q46/$I$7</f>
        <v>1.1249431599958875</v>
      </c>
      <c r="R47" s="2"/>
      <c r="S47" s="84">
        <f>S46/$I$7</f>
        <v>1.3447058247459414</v>
      </c>
      <c r="T47" s="2"/>
      <c r="U47" s="84">
        <f>U46/$I$7</f>
        <v>1.5851272369078868</v>
      </c>
      <c r="V47" s="2"/>
      <c r="W47" s="84">
        <f>W46/$I$7</f>
        <v>1.8472576958156854</v>
      </c>
      <c r="X47" s="2"/>
      <c r="Y47" s="84">
        <f>Y46/$I$7</f>
        <v>2.1322000394201259</v>
      </c>
      <c r="Z47" s="2"/>
      <c r="AA47" s="84">
        <f>AA46/$I$7</f>
        <v>2.441112242096644</v>
      </c>
      <c r="AB47" s="2"/>
      <c r="AC47" s="84">
        <f>AC46/$I$7</f>
        <v>2.7752101396798889</v>
      </c>
      <c r="AD47" s="2"/>
      <c r="AE47" s="84">
        <f>AE46/$I$7</f>
        <v>3.1357702878990734</v>
      </c>
      <c r="AF47" s="2"/>
      <c r="AG47" s="84">
        <f>AG46/$I$7</f>
        <v>3.5241329606847667</v>
      </c>
    </row>
    <row r="48" spans="1:33" ht="14.25" customHeight="1">
      <c r="A48" s="2"/>
      <c r="B48" s="2"/>
      <c r="C48" s="84"/>
      <c r="D48" s="85"/>
      <c r="E48" s="84"/>
      <c r="F48" s="85"/>
      <c r="G48" s="84"/>
      <c r="H48" s="85"/>
      <c r="I48" s="84"/>
      <c r="J48" s="85"/>
      <c r="K48" s="84"/>
      <c r="L48" s="84"/>
      <c r="M48" s="84"/>
      <c r="N48" s="84"/>
      <c r="O48" s="84"/>
      <c r="P48" s="2"/>
      <c r="Q48" s="84"/>
      <c r="R48" s="2"/>
      <c r="S48" s="84"/>
      <c r="T48" s="2"/>
      <c r="U48" s="84"/>
      <c r="V48" s="2"/>
      <c r="W48" s="84"/>
      <c r="X48" s="2"/>
      <c r="Y48" s="84"/>
      <c r="Z48" s="2"/>
      <c r="AA48" s="84"/>
      <c r="AB48" s="2"/>
      <c r="AC48" s="84"/>
      <c r="AD48" s="2"/>
      <c r="AE48" s="84"/>
      <c r="AF48" s="2"/>
      <c r="AG48" s="84"/>
    </row>
    <row r="49" spans="1:33" ht="14.25" customHeight="1">
      <c r="A49" s="27" t="s">
        <v>108</v>
      </c>
      <c r="B49" s="2"/>
      <c r="C49" s="82">
        <f>C41-C43+C37</f>
        <v>21167.695626887755</v>
      </c>
      <c r="D49" s="85"/>
      <c r="E49" s="82">
        <f>E41-E43+E37+C37</f>
        <v>48851.530076509604</v>
      </c>
      <c r="F49" s="83"/>
      <c r="G49" s="82">
        <f>G41-G43+G37+E37+C37</f>
        <v>78773.238405327094</v>
      </c>
      <c r="H49" s="83"/>
      <c r="I49" s="82">
        <f>I41-I43+I37+G37+E37+C37</f>
        <v>111055.97785227063</v>
      </c>
      <c r="J49" s="83"/>
      <c r="K49" s="82">
        <f>K41-K43+K37+I37+G37+E37+C37</f>
        <v>145829.6824627145</v>
      </c>
      <c r="L49" s="83"/>
      <c r="M49" s="82">
        <f>M41-M43+M37+K37+I37+G37+E37</f>
        <v>176993.46768551151</v>
      </c>
      <c r="N49" s="83"/>
      <c r="O49" s="82">
        <f>O41-O43+O37+M37+K37+I37+G37</f>
        <v>209932.49465937895</v>
      </c>
      <c r="P49" s="2"/>
      <c r="Q49" s="82">
        <f>Q41-Q43+Q37+O37+M37+K37+I37</f>
        <v>244748.30772234831</v>
      </c>
      <c r="R49" s="2"/>
      <c r="S49" s="82">
        <f>S41-S43+S37+Q37+O37+M37+K37</f>
        <v>281548.28935903177</v>
      </c>
      <c r="T49" s="2"/>
      <c r="U49" s="82">
        <f>U41-U43+U37+S37+Q37+O37+M37</f>
        <v>320445.99764287891</v>
      </c>
      <c r="V49" s="2"/>
      <c r="W49" s="82">
        <f>W41-W43+W37+U37+S37+Q37+O37</f>
        <v>361561.52328189439</v>
      </c>
      <c r="X49" s="2"/>
      <c r="Y49" s="82">
        <f>Y41-Y43+Y37+W37+U37+S37+Q37</f>
        <v>405021.86741199088</v>
      </c>
      <c r="Z49" s="2"/>
      <c r="AA49" s="82">
        <f>AA41-AA43+AA37+Y37+W37+U37+S37</f>
        <v>450961.34134920361</v>
      </c>
      <c r="AB49" s="2"/>
      <c r="AC49" s="82">
        <f>AC41-AC43+AC37+AA37+Y37+W37+U37</f>
        <v>499544.89677013829</v>
      </c>
      <c r="AD49" s="2"/>
      <c r="AE49" s="82">
        <f>AE41-AE43+AE37+AC37+AA37+Y37+W37</f>
        <v>550876.94455525908</v>
      </c>
      <c r="AF49" s="2"/>
      <c r="AG49" s="82">
        <f>AG41-AG43+AG37+AE37+AC37+AA37+Y37</f>
        <v>734558.9020328942</v>
      </c>
    </row>
    <row r="50" spans="1:33" ht="14.25" customHeight="1">
      <c r="A50" s="27" t="s">
        <v>109</v>
      </c>
      <c r="B50" s="2"/>
      <c r="C50" s="84">
        <f>C49/$I$7</f>
        <v>0.29442514259528135</v>
      </c>
      <c r="D50" s="85"/>
      <c r="E50" s="84">
        <f>E49/$I$7</f>
        <v>0.67948438801738098</v>
      </c>
      <c r="F50" s="85"/>
      <c r="G50" s="84">
        <f>G49/$I$7</f>
        <v>1.0956706086004186</v>
      </c>
      <c r="H50" s="85"/>
      <c r="I50" s="84">
        <f>I49/$I$7</f>
        <v>1.5446968196991533</v>
      </c>
      <c r="J50" s="85"/>
      <c r="K50" s="84">
        <f>K49/$I$7</f>
        <v>2.028370296442235</v>
      </c>
      <c r="L50" s="84"/>
      <c r="M50" s="84">
        <f>M49/$I$7</f>
        <v>2.4618327795467212</v>
      </c>
      <c r="N50" s="84"/>
      <c r="O50" s="84">
        <f>O49/$I$7</f>
        <v>2.9199874074605878</v>
      </c>
      <c r="P50" s="2"/>
      <c r="Q50" s="84">
        <f>Q49/$I$7</f>
        <v>3.4042465779588054</v>
      </c>
      <c r="R50" s="2"/>
      <c r="S50" s="84">
        <f>S49/$I$7</f>
        <v>3.9161038926077163</v>
      </c>
      <c r="T50" s="2"/>
      <c r="U50" s="84">
        <f>U49/$I$7</f>
        <v>4.4571388503077944</v>
      </c>
      <c r="V50" s="2"/>
      <c r="W50" s="84">
        <f>W49/$I$7</f>
        <v>5.0290218135043379</v>
      </c>
      <c r="X50" s="2"/>
      <c r="Y50" s="84">
        <f>Y49/$I$7</f>
        <v>5.6335192629806086</v>
      </c>
      <c r="Z50" s="2"/>
      <c r="AA50" s="84">
        <f>AA49/$I$7</f>
        <v>6.2724993580805846</v>
      </c>
      <c r="AB50" s="2"/>
      <c r="AC50" s="84">
        <f>AC49/$I$7</f>
        <v>6.9482564402272518</v>
      </c>
      <c r="AD50" s="2"/>
      <c r="AE50" s="84">
        <f>AE49/$I$7</f>
        <v>7.6622427784304756</v>
      </c>
      <c r="AF50" s="2"/>
      <c r="AG50" s="84">
        <f>AG49/$I$7</f>
        <v>10.217106920271148</v>
      </c>
    </row>
    <row r="51" spans="1:33" ht="14.25" customHeight="1">
      <c r="A51" s="2"/>
      <c r="B51" s="2"/>
      <c r="C51" s="86"/>
      <c r="D51" s="36"/>
      <c r="E51" s="86"/>
      <c r="F51" s="36"/>
      <c r="G51" s="86"/>
      <c r="H51" s="36"/>
      <c r="I51" s="86"/>
      <c r="J51" s="36"/>
      <c r="K51" s="86"/>
      <c r="L51" s="86"/>
      <c r="M51" s="86"/>
      <c r="N51" s="86"/>
      <c r="O51" s="86"/>
      <c r="P51" s="2"/>
      <c r="Q51" s="86"/>
      <c r="R51" s="2"/>
      <c r="S51" s="86"/>
      <c r="T51" s="2"/>
      <c r="U51" s="86"/>
      <c r="V51" s="2"/>
      <c r="W51" s="86"/>
      <c r="X51" s="2"/>
      <c r="Y51" s="86"/>
      <c r="Z51" s="2"/>
      <c r="AA51" s="86"/>
      <c r="AB51" s="2"/>
      <c r="AC51" s="86"/>
      <c r="AD51" s="2"/>
      <c r="AE51" s="86"/>
      <c r="AF51" s="2"/>
      <c r="AG51" s="86"/>
    </row>
    <row r="52" spans="1:33" ht="15.75" customHeight="1">
      <c r="A52" s="2"/>
      <c r="B52" s="2"/>
      <c r="C52" s="87"/>
      <c r="D52" s="88"/>
      <c r="E52" s="87"/>
      <c r="F52" s="2"/>
      <c r="G52" s="87"/>
      <c r="H52" s="2"/>
      <c r="I52" s="87"/>
      <c r="J52" s="2"/>
      <c r="K52" s="87"/>
      <c r="L52" s="2"/>
      <c r="M52" s="2"/>
      <c r="N52" s="2"/>
      <c r="O52" s="2"/>
      <c r="P52" s="2"/>
      <c r="Q52" s="2"/>
      <c r="R52" s="2"/>
      <c r="S52" s="2"/>
      <c r="T52" s="2"/>
      <c r="U52" s="2"/>
      <c r="V52" s="2"/>
      <c r="W52" s="2"/>
      <c r="X52" s="2"/>
      <c r="Y52" s="2"/>
      <c r="Z52" s="2"/>
      <c r="AA52" s="2"/>
      <c r="AB52" s="2"/>
      <c r="AC52" s="2"/>
      <c r="AD52" s="2"/>
      <c r="AE52" s="2"/>
      <c r="AF52" s="2"/>
      <c r="AG52" s="2"/>
    </row>
    <row r="53" spans="1:33" ht="19.5" customHeight="1">
      <c r="A53" s="131"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18"/>
      <c r="C53" s="118"/>
      <c r="D53" s="118"/>
      <c r="E53" s="118"/>
      <c r="F53" s="118"/>
      <c r="G53" s="118"/>
      <c r="H53" s="118"/>
      <c r="I53" s="118"/>
      <c r="J53" s="118"/>
      <c r="K53" s="118"/>
      <c r="L53" s="89"/>
      <c r="M53" s="2"/>
      <c r="N53" s="2"/>
      <c r="O53" s="2"/>
      <c r="P53" s="2"/>
      <c r="Q53" s="2"/>
      <c r="R53" s="2"/>
      <c r="S53" s="2"/>
      <c r="T53" s="2"/>
      <c r="U53" s="2"/>
      <c r="V53" s="2"/>
      <c r="W53" s="2"/>
      <c r="X53" s="2"/>
      <c r="Y53" s="2"/>
      <c r="Z53" s="2"/>
      <c r="AA53" s="2"/>
      <c r="AB53" s="2"/>
      <c r="AC53" s="2"/>
      <c r="AD53" s="2"/>
      <c r="AE53" s="2"/>
      <c r="AF53" s="2"/>
      <c r="AG53" s="2"/>
    </row>
    <row r="54" spans="1:33" ht="14.25" customHeight="1">
      <c r="A54" s="119"/>
      <c r="B54" s="120"/>
      <c r="C54" s="120"/>
      <c r="D54" s="120"/>
      <c r="E54" s="120"/>
      <c r="F54" s="120"/>
      <c r="G54" s="120"/>
      <c r="H54" s="120"/>
      <c r="I54" s="120"/>
      <c r="J54" s="120"/>
      <c r="K54" s="120"/>
      <c r="L54" s="89"/>
      <c r="M54" s="2"/>
      <c r="N54" s="2"/>
      <c r="O54" s="2"/>
      <c r="P54" s="2"/>
      <c r="Q54" s="2"/>
      <c r="R54" s="2"/>
      <c r="S54" s="2"/>
      <c r="T54" s="2"/>
      <c r="U54" s="2"/>
      <c r="V54" s="2"/>
      <c r="W54" s="2"/>
      <c r="X54" s="2"/>
      <c r="Y54" s="2"/>
      <c r="Z54" s="2"/>
      <c r="AA54" s="2"/>
      <c r="AB54" s="2"/>
      <c r="AC54" s="2"/>
      <c r="AD54" s="2"/>
      <c r="AE54" s="2"/>
      <c r="AF54" s="2"/>
      <c r="AG54" s="2"/>
    </row>
    <row r="55" spans="1:33" ht="14.25" customHeight="1">
      <c r="A55" s="119"/>
      <c r="B55" s="120"/>
      <c r="C55" s="120"/>
      <c r="D55" s="120"/>
      <c r="E55" s="120"/>
      <c r="F55" s="120"/>
      <c r="G55" s="120"/>
      <c r="H55" s="120"/>
      <c r="I55" s="120"/>
      <c r="J55" s="120"/>
      <c r="K55" s="120"/>
      <c r="L55" s="89"/>
      <c r="M55" s="2"/>
      <c r="N55" s="2"/>
      <c r="O55" s="2"/>
      <c r="P55" s="2"/>
      <c r="Q55" s="2"/>
      <c r="R55" s="2"/>
      <c r="S55" s="2"/>
      <c r="T55" s="2"/>
      <c r="U55" s="2"/>
      <c r="V55" s="2"/>
      <c r="W55" s="2"/>
      <c r="X55" s="2"/>
      <c r="Y55" s="2"/>
      <c r="Z55" s="2"/>
      <c r="AA55" s="2"/>
      <c r="AB55" s="2"/>
      <c r="AC55" s="2"/>
      <c r="AD55" s="2"/>
      <c r="AE55" s="2"/>
      <c r="AF55" s="2"/>
      <c r="AG55" s="2"/>
    </row>
    <row r="56" spans="1:33" ht="14.25" customHeight="1">
      <c r="A56" s="90"/>
      <c r="B56" s="91">
        <f>-I7</f>
        <v>-71895</v>
      </c>
      <c r="C56" s="92">
        <f>C37*0.7</f>
        <v>4366.5788060820832</v>
      </c>
      <c r="D56" s="93"/>
      <c r="E56" s="92">
        <f>E37*0.7</f>
        <v>5064.7868060820847</v>
      </c>
      <c r="F56" s="94"/>
      <c r="G56" s="92">
        <f>G37*0.7</f>
        <v>5798.7300860820815</v>
      </c>
      <c r="H56" s="94"/>
      <c r="I56" s="92">
        <f>I37*0.7</f>
        <v>6570.2044568820829</v>
      </c>
      <c r="J56" s="94"/>
      <c r="K56" s="92">
        <f>K57+K62</f>
        <v>144322.61200928196</v>
      </c>
      <c r="L56" s="94"/>
      <c r="M56" s="95">
        <f>IRR(B56:K56)</f>
        <v>0.19920489355049242</v>
      </c>
      <c r="N56" s="94" t="s">
        <v>110</v>
      </c>
      <c r="O56" s="96"/>
      <c r="P56" s="96"/>
      <c r="Q56" s="96"/>
      <c r="R56" s="96"/>
      <c r="S56" s="96"/>
      <c r="T56" s="96"/>
      <c r="U56" s="96"/>
      <c r="V56" s="96"/>
      <c r="W56" s="96"/>
      <c r="X56" s="96"/>
      <c r="Y56" s="96"/>
      <c r="Z56" s="96"/>
      <c r="AA56" s="96"/>
      <c r="AB56" s="96"/>
      <c r="AC56" s="96"/>
      <c r="AD56" s="96"/>
      <c r="AE56" s="96"/>
      <c r="AF56" s="96"/>
      <c r="AG56" s="96"/>
    </row>
    <row r="57" spans="1:33" ht="14.25" customHeight="1">
      <c r="A57" s="96"/>
      <c r="B57" s="94"/>
      <c r="C57" s="94"/>
      <c r="D57" s="94"/>
      <c r="E57" s="94"/>
      <c r="F57" s="94"/>
      <c r="G57" s="94"/>
      <c r="H57" s="94"/>
      <c r="I57" s="94"/>
      <c r="J57" s="94"/>
      <c r="K57" s="92">
        <f>K37*0.7</f>
        <v>7381.0948492500838</v>
      </c>
      <c r="L57" s="94"/>
      <c r="M57" s="94"/>
      <c r="N57" s="94"/>
      <c r="O57" s="96"/>
      <c r="P57" s="96"/>
      <c r="Q57" s="96"/>
      <c r="R57" s="96"/>
      <c r="S57" s="96"/>
      <c r="T57" s="96"/>
      <c r="U57" s="96"/>
      <c r="V57" s="96"/>
      <c r="W57" s="96"/>
      <c r="X57" s="96"/>
      <c r="Y57" s="96"/>
      <c r="Z57" s="96"/>
      <c r="AA57" s="96"/>
      <c r="AB57" s="96"/>
      <c r="AC57" s="96"/>
      <c r="AD57" s="96"/>
      <c r="AE57" s="96"/>
      <c r="AF57" s="96"/>
      <c r="AG57" s="96"/>
    </row>
    <row r="58" spans="1:33" ht="14.25" customHeight="1">
      <c r="A58" s="96"/>
      <c r="B58" s="94"/>
      <c r="C58" s="94"/>
      <c r="D58" s="94"/>
      <c r="E58" s="94"/>
      <c r="F58" s="94"/>
      <c r="G58" s="94"/>
      <c r="H58" s="94"/>
      <c r="I58" s="94"/>
      <c r="J58" s="94"/>
      <c r="K58" s="97">
        <f>K39*0.93</f>
        <v>336028.44253536005</v>
      </c>
      <c r="L58" s="94" t="s">
        <v>111</v>
      </c>
      <c r="M58" s="94"/>
      <c r="N58" s="94"/>
      <c r="O58" s="96"/>
      <c r="P58" s="96"/>
      <c r="Q58" s="96"/>
      <c r="R58" s="96"/>
      <c r="S58" s="96"/>
      <c r="T58" s="96"/>
      <c r="U58" s="96"/>
      <c r="V58" s="96"/>
      <c r="W58" s="96"/>
      <c r="X58" s="96"/>
      <c r="Y58" s="96"/>
      <c r="Z58" s="96"/>
      <c r="AA58" s="96"/>
      <c r="AB58" s="96"/>
      <c r="AC58" s="96"/>
      <c r="AD58" s="96"/>
      <c r="AE58" s="96"/>
      <c r="AF58" s="96"/>
      <c r="AG58" s="96"/>
    </row>
    <row r="59" spans="1:33" ht="14.25" customHeight="1">
      <c r="A59" s="96"/>
      <c r="B59" s="94"/>
      <c r="C59" s="94"/>
      <c r="D59" s="94"/>
      <c r="E59" s="94"/>
      <c r="F59" s="94"/>
      <c r="G59" s="94"/>
      <c r="H59" s="94"/>
      <c r="I59" s="94"/>
      <c r="J59" s="94"/>
      <c r="K59" s="97">
        <f>K58-K40</f>
        <v>150744.51189696245</v>
      </c>
      <c r="L59" s="94" t="s">
        <v>112</v>
      </c>
      <c r="M59" s="94"/>
      <c r="N59" s="94"/>
      <c r="O59" s="96"/>
      <c r="P59" s="96"/>
      <c r="Q59" s="96"/>
      <c r="R59" s="96"/>
      <c r="S59" s="96"/>
      <c r="T59" s="96"/>
      <c r="U59" s="96"/>
      <c r="V59" s="96"/>
      <c r="W59" s="96"/>
      <c r="X59" s="96"/>
      <c r="Y59" s="96"/>
      <c r="Z59" s="96"/>
      <c r="AA59" s="96"/>
      <c r="AB59" s="96"/>
      <c r="AC59" s="96"/>
      <c r="AD59" s="96"/>
      <c r="AE59" s="96"/>
      <c r="AF59" s="96"/>
      <c r="AG59" s="96"/>
    </row>
    <row r="60" spans="1:33" ht="14.25" customHeight="1">
      <c r="A60" s="96"/>
      <c r="B60" s="94"/>
      <c r="C60" s="94"/>
      <c r="D60" s="94"/>
      <c r="E60" s="94"/>
      <c r="F60" s="94"/>
      <c r="G60" s="94"/>
      <c r="H60" s="94"/>
      <c r="I60" s="94"/>
      <c r="J60" s="94"/>
      <c r="K60" s="97">
        <f>K58-I2+I5+I6</f>
        <v>70423.442535360053</v>
      </c>
      <c r="L60" s="94" t="s">
        <v>113</v>
      </c>
      <c r="M60" s="94"/>
      <c r="N60" s="94"/>
      <c r="O60" s="96"/>
      <c r="P60" s="96"/>
      <c r="Q60" s="96"/>
      <c r="R60" s="96"/>
      <c r="S60" s="96"/>
      <c r="T60" s="96"/>
      <c r="U60" s="96"/>
      <c r="V60" s="96"/>
      <c r="W60" s="96"/>
      <c r="X60" s="96"/>
      <c r="Y60" s="96"/>
      <c r="Z60" s="96"/>
      <c r="AA60" s="96"/>
      <c r="AB60" s="96"/>
      <c r="AC60" s="96"/>
      <c r="AD60" s="96"/>
      <c r="AE60" s="96"/>
      <c r="AF60" s="96"/>
      <c r="AG60" s="96"/>
    </row>
    <row r="61" spans="1:33" ht="14.25" customHeight="1">
      <c r="A61" s="96"/>
      <c r="B61" s="94"/>
      <c r="C61" s="94"/>
      <c r="D61" s="94"/>
      <c r="E61" s="94"/>
      <c r="F61" s="94"/>
      <c r="G61" s="94"/>
      <c r="H61" s="94"/>
      <c r="I61" s="94"/>
      <c r="J61" s="94"/>
      <c r="K61" s="97">
        <f>K60*0.196</f>
        <v>13802.99473693057</v>
      </c>
      <c r="L61" s="94" t="s">
        <v>114</v>
      </c>
      <c r="M61" s="94"/>
      <c r="N61" s="94"/>
      <c r="O61" s="96"/>
      <c r="P61" s="96"/>
      <c r="Q61" s="96"/>
      <c r="R61" s="96"/>
      <c r="S61" s="96"/>
      <c r="T61" s="96"/>
      <c r="U61" s="96"/>
      <c r="V61" s="96"/>
      <c r="W61" s="96"/>
      <c r="X61" s="96"/>
      <c r="Y61" s="96"/>
      <c r="Z61" s="96"/>
      <c r="AA61" s="96"/>
      <c r="AB61" s="96"/>
      <c r="AC61" s="96"/>
      <c r="AD61" s="96"/>
      <c r="AE61" s="96"/>
      <c r="AF61" s="96"/>
      <c r="AG61" s="96"/>
    </row>
    <row r="62" spans="1:33" ht="14.25" customHeight="1">
      <c r="A62" s="96"/>
      <c r="B62" s="94"/>
      <c r="C62" s="94"/>
      <c r="D62" s="94"/>
      <c r="E62" s="94"/>
      <c r="F62" s="94"/>
      <c r="G62" s="94"/>
      <c r="H62" s="94"/>
      <c r="I62" s="94"/>
      <c r="J62" s="94"/>
      <c r="K62" s="97">
        <f>K59-K61</f>
        <v>136941.51716003189</v>
      </c>
      <c r="L62" s="94" t="s">
        <v>115</v>
      </c>
      <c r="M62" s="94"/>
      <c r="N62" s="94"/>
      <c r="O62" s="96"/>
      <c r="P62" s="96"/>
      <c r="Q62" s="96"/>
      <c r="R62" s="96"/>
      <c r="S62" s="96"/>
      <c r="T62" s="96"/>
      <c r="U62" s="96"/>
      <c r="V62" s="96"/>
      <c r="W62" s="96"/>
      <c r="X62" s="96"/>
      <c r="Y62" s="96"/>
      <c r="Z62" s="96"/>
      <c r="AA62" s="96"/>
      <c r="AB62" s="96"/>
      <c r="AC62" s="96"/>
      <c r="AD62" s="96"/>
      <c r="AE62" s="96"/>
      <c r="AF62" s="96"/>
      <c r="AG62" s="96"/>
    </row>
    <row r="63" spans="1:33" ht="14.25" customHeight="1">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row>
    <row r="64" spans="1:33" ht="14.25" customHeight="1">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row>
    <row r="65" spans="1:33" ht="14.25" customHeight="1">
      <c r="A65" s="96"/>
      <c r="B65" s="98"/>
      <c r="C65" s="99"/>
      <c r="D65" s="99"/>
      <c r="E65" s="99"/>
      <c r="F65" s="99"/>
      <c r="G65" s="99"/>
      <c r="H65" s="96"/>
      <c r="I65" s="100"/>
      <c r="J65" s="96"/>
      <c r="K65" s="96"/>
      <c r="L65" s="96"/>
      <c r="M65" s="96"/>
      <c r="N65" s="96"/>
      <c r="O65" s="96"/>
      <c r="P65" s="96"/>
      <c r="Q65" s="96"/>
      <c r="R65" s="96"/>
      <c r="S65" s="96"/>
      <c r="T65" s="96"/>
      <c r="U65" s="96"/>
      <c r="V65" s="96"/>
      <c r="W65" s="96"/>
      <c r="X65" s="96"/>
      <c r="Y65" s="96"/>
      <c r="Z65" s="96"/>
      <c r="AA65" s="96"/>
      <c r="AB65" s="96"/>
      <c r="AC65" s="96"/>
      <c r="AD65" s="96"/>
      <c r="AE65" s="96"/>
      <c r="AF65" s="96"/>
      <c r="AG65" s="96"/>
    </row>
    <row r="66" spans="1:33" ht="14.25" customHeight="1">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row>
  </sheetData>
  <mergeCells count="1">
    <mergeCell ref="A53:K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workbookViewId="0"/>
  </sheetViews>
  <sheetFormatPr defaultColWidth="14.44140625" defaultRowHeight="15" customHeight="1"/>
  <cols>
    <col min="1" max="1" width="18" customWidth="1"/>
    <col min="2" max="2" width="19.88671875" customWidth="1"/>
    <col min="3" max="3" width="16.109375" customWidth="1"/>
    <col min="4" max="4" width="6" customWidth="1"/>
    <col min="5" max="5" width="12.88671875" customWidth="1"/>
    <col min="6" max="6" width="6" customWidth="1"/>
    <col min="7" max="7" width="13.44140625" customWidth="1"/>
    <col min="8" max="8" width="6" customWidth="1"/>
    <col min="9" max="9" width="13.6640625" customWidth="1"/>
    <col min="10" max="10" width="6" customWidth="1"/>
    <col min="11" max="11" width="15.6640625" customWidth="1"/>
    <col min="12" max="12" width="6" customWidth="1"/>
    <col min="13" max="13" width="15.6640625" customWidth="1"/>
    <col min="14" max="14" width="6" customWidth="1"/>
    <col min="15" max="15" width="15.6640625" customWidth="1"/>
    <col min="16" max="16" width="6" customWidth="1"/>
    <col min="17" max="17" width="15.6640625" customWidth="1"/>
    <col min="18" max="18" width="6" customWidth="1"/>
    <col min="19" max="19" width="15.6640625" customWidth="1"/>
    <col min="20" max="20" width="6" customWidth="1"/>
    <col min="21" max="21" width="15.6640625" customWidth="1"/>
    <col min="22" max="22" width="6" customWidth="1"/>
    <col min="23" max="23" width="15.6640625" customWidth="1"/>
    <col min="24" max="24" width="6" customWidth="1"/>
    <col min="25" max="25" width="15.6640625" customWidth="1"/>
    <col min="26" max="26" width="6" customWidth="1"/>
    <col min="27" max="27" width="15.6640625" customWidth="1"/>
    <col min="28" max="28" width="6" customWidth="1"/>
    <col min="29" max="29" width="15.6640625" customWidth="1"/>
    <col min="30" max="30" width="6" customWidth="1"/>
    <col min="31" max="31" width="15.6640625" customWidth="1"/>
    <col min="32" max="32" width="6" customWidth="1"/>
    <col min="33" max="33" width="15.6640625" customWidth="1"/>
  </cols>
  <sheetData>
    <row r="1" spans="1:33" ht="14.25" customHeight="1">
      <c r="A1" s="1" t="s">
        <v>0</v>
      </c>
      <c r="B1" s="2"/>
      <c r="C1" s="1" t="str">
        <f>Inputs!B10</f>
        <v>9428 E. Lehigh Ave.</v>
      </c>
      <c r="D1" s="2"/>
      <c r="E1" s="1" t="s">
        <v>2</v>
      </c>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4.25" customHeight="1">
      <c r="A2" s="2"/>
      <c r="B2" s="2"/>
      <c r="C2" s="2"/>
      <c r="D2" s="2"/>
      <c r="E2" s="6" t="s">
        <v>3</v>
      </c>
      <c r="F2" s="2"/>
      <c r="G2" s="6"/>
      <c r="H2" s="2"/>
      <c r="I2" s="10">
        <f>Inputs!B15</f>
        <v>270000</v>
      </c>
      <c r="J2" s="2"/>
      <c r="K2" s="2"/>
      <c r="L2" s="2"/>
      <c r="M2" s="2"/>
      <c r="N2" s="2"/>
      <c r="O2" s="2"/>
      <c r="P2" s="2"/>
      <c r="Q2" s="2"/>
      <c r="R2" s="2"/>
      <c r="S2" s="2"/>
      <c r="T2" s="2"/>
      <c r="U2" s="2"/>
      <c r="V2" s="2"/>
      <c r="W2" s="2"/>
      <c r="X2" s="2"/>
      <c r="Y2" s="2"/>
      <c r="Z2" s="2"/>
      <c r="AA2" s="2"/>
      <c r="AB2" s="2"/>
      <c r="AC2" s="2"/>
      <c r="AD2" s="2"/>
      <c r="AE2" s="2"/>
      <c r="AF2" s="2"/>
      <c r="AG2" s="2"/>
    </row>
    <row r="3" spans="1:33" ht="14.25" customHeight="1">
      <c r="A3" s="4" t="s">
        <v>1</v>
      </c>
      <c r="B3" s="2"/>
      <c r="C3" s="5">
        <f>Inputs!B11</f>
        <v>1</v>
      </c>
      <c r="D3" s="2"/>
      <c r="E3" s="6" t="s">
        <v>5</v>
      </c>
      <c r="F3" s="2"/>
      <c r="G3" s="6"/>
      <c r="H3" s="2"/>
      <c r="I3" s="11">
        <f>Inputs!B19</f>
        <v>202500</v>
      </c>
      <c r="J3" s="2"/>
      <c r="K3" s="2"/>
      <c r="L3" s="2"/>
      <c r="M3" s="2"/>
      <c r="N3" s="2"/>
      <c r="O3" s="2"/>
      <c r="P3" s="2"/>
      <c r="Q3" s="2"/>
      <c r="R3" s="2"/>
      <c r="S3" s="2"/>
      <c r="T3" s="2"/>
      <c r="U3" s="2"/>
      <c r="V3" s="2"/>
      <c r="W3" s="2"/>
      <c r="X3" s="2"/>
      <c r="Y3" s="2"/>
      <c r="Z3" s="2"/>
      <c r="AA3" s="2"/>
      <c r="AB3" s="2"/>
      <c r="AC3" s="2"/>
      <c r="AD3" s="2"/>
      <c r="AE3" s="2"/>
      <c r="AF3" s="2"/>
      <c r="AG3" s="2"/>
    </row>
    <row r="4" spans="1:33" ht="14.25" customHeight="1">
      <c r="A4" s="2"/>
      <c r="B4" s="2"/>
      <c r="C4" s="2"/>
      <c r="D4" s="2"/>
      <c r="E4" s="6" t="s">
        <v>6</v>
      </c>
      <c r="F4" s="2"/>
      <c r="G4" s="6"/>
      <c r="H4" s="2"/>
      <c r="I4" s="10">
        <f>Inputs!B18</f>
        <v>67500</v>
      </c>
      <c r="J4" s="2"/>
      <c r="K4" s="2"/>
      <c r="L4" s="2"/>
      <c r="M4" s="2"/>
      <c r="N4" s="2"/>
      <c r="O4" s="2"/>
      <c r="P4" s="2"/>
      <c r="Q4" s="2"/>
      <c r="R4" s="2"/>
      <c r="S4" s="2"/>
      <c r="T4" s="2"/>
      <c r="U4" s="2"/>
      <c r="V4" s="2"/>
      <c r="W4" s="2"/>
      <c r="X4" s="2"/>
      <c r="Y4" s="2"/>
      <c r="Z4" s="2"/>
      <c r="AA4" s="2"/>
      <c r="AB4" s="2"/>
      <c r="AC4" s="2"/>
      <c r="AD4" s="2"/>
      <c r="AE4" s="2"/>
      <c r="AF4" s="2"/>
      <c r="AG4" s="2"/>
    </row>
    <row r="5" spans="1:33" ht="14.25" customHeight="1">
      <c r="A5" s="2"/>
      <c r="B5" s="2"/>
      <c r="C5" s="2"/>
      <c r="D5" s="2"/>
      <c r="E5" s="6" t="s">
        <v>7</v>
      </c>
      <c r="F5" s="2"/>
      <c r="G5" s="6"/>
      <c r="H5" s="2"/>
      <c r="I5" s="10">
        <f>Inputs!B16+Inputs!B17</f>
        <v>3395</v>
      </c>
      <c r="J5" s="2"/>
      <c r="K5" s="2"/>
      <c r="L5" s="2"/>
      <c r="M5" s="2"/>
      <c r="N5" s="2"/>
      <c r="O5" s="2"/>
      <c r="P5" s="2"/>
      <c r="Q5" s="2"/>
      <c r="R5" s="2"/>
      <c r="S5" s="2"/>
      <c r="T5" s="2"/>
      <c r="U5" s="2"/>
      <c r="V5" s="2"/>
      <c r="W5" s="2"/>
      <c r="X5" s="2"/>
      <c r="Y5" s="2"/>
      <c r="Z5" s="2"/>
      <c r="AA5" s="2"/>
      <c r="AB5" s="2"/>
      <c r="AC5" s="2"/>
      <c r="AD5" s="2"/>
      <c r="AE5" s="2"/>
      <c r="AF5" s="2"/>
      <c r="AG5" s="2"/>
    </row>
    <row r="6" spans="1:33" ht="14.25" customHeight="1">
      <c r="A6" s="2"/>
      <c r="B6" s="2"/>
      <c r="C6" s="2"/>
      <c r="D6" s="2"/>
      <c r="E6" s="6" t="s">
        <v>8</v>
      </c>
      <c r="F6" s="2"/>
      <c r="G6" s="6"/>
      <c r="H6" s="2"/>
      <c r="I6" s="11">
        <f>Inputs!B21</f>
        <v>1000</v>
      </c>
      <c r="J6" s="2"/>
      <c r="K6" s="2"/>
      <c r="L6" s="2"/>
      <c r="M6" s="2"/>
      <c r="N6" s="2"/>
      <c r="O6" s="2"/>
      <c r="P6" s="2"/>
      <c r="Q6" s="2"/>
      <c r="R6" s="2"/>
      <c r="S6" s="2"/>
      <c r="T6" s="2"/>
      <c r="U6" s="2"/>
      <c r="V6" s="2"/>
      <c r="W6" s="2"/>
      <c r="X6" s="2"/>
      <c r="Y6" s="2"/>
      <c r="Z6" s="2"/>
      <c r="AA6" s="2"/>
      <c r="AB6" s="2"/>
      <c r="AC6" s="2"/>
      <c r="AD6" s="2"/>
      <c r="AE6" s="2"/>
      <c r="AF6" s="2"/>
      <c r="AG6" s="2"/>
    </row>
    <row r="7" spans="1:33" ht="14.25" customHeight="1">
      <c r="A7" s="2"/>
      <c r="B7" s="2"/>
      <c r="C7" s="2"/>
      <c r="D7" s="2"/>
      <c r="E7" s="1" t="s">
        <v>9</v>
      </c>
      <c r="F7" s="2"/>
      <c r="G7" s="1"/>
      <c r="H7" s="2"/>
      <c r="I7" s="12">
        <f>Inputs!B22</f>
        <v>71895</v>
      </c>
      <c r="J7" s="2"/>
      <c r="K7" s="2"/>
      <c r="L7" s="2"/>
      <c r="M7" s="2"/>
      <c r="N7" s="2"/>
      <c r="O7" s="2"/>
      <c r="P7" s="2"/>
      <c r="Q7" s="2"/>
      <c r="R7" s="2"/>
      <c r="S7" s="2"/>
      <c r="T7" s="2"/>
      <c r="U7" s="2"/>
      <c r="V7" s="2"/>
      <c r="W7" s="2"/>
      <c r="X7" s="2"/>
      <c r="Y7" s="2"/>
      <c r="Z7" s="2"/>
      <c r="AA7" s="2"/>
      <c r="AB7" s="2"/>
      <c r="AC7" s="2"/>
      <c r="AD7" s="2"/>
      <c r="AE7" s="2"/>
      <c r="AF7" s="2"/>
      <c r="AG7" s="2"/>
    </row>
    <row r="8" spans="1:33" ht="14.25" customHeight="1">
      <c r="A8" s="1" t="s">
        <v>10</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row>
    <row r="9" spans="1:33" ht="14.2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3" ht="14.25" customHeight="1">
      <c r="A10" s="13" t="s">
        <v>11</v>
      </c>
      <c r="B10" s="6"/>
      <c r="C10" s="6" t="s">
        <v>21</v>
      </c>
      <c r="D10" s="6"/>
      <c r="E10" s="2" t="s">
        <v>22</v>
      </c>
      <c r="F10" s="2"/>
      <c r="G10" s="2" t="s">
        <v>23</v>
      </c>
      <c r="H10" s="2"/>
      <c r="I10" s="2" t="s">
        <v>24</v>
      </c>
      <c r="J10" s="2"/>
      <c r="K10" s="2" t="s">
        <v>25</v>
      </c>
      <c r="L10" s="2"/>
      <c r="M10" s="2" t="s">
        <v>26</v>
      </c>
      <c r="N10" s="2"/>
      <c r="O10" s="2" t="s">
        <v>28</v>
      </c>
      <c r="P10" s="2"/>
      <c r="Q10" s="2" t="s">
        <v>29</v>
      </c>
      <c r="R10" s="2"/>
      <c r="S10" s="2" t="s">
        <v>30</v>
      </c>
      <c r="T10" s="2"/>
      <c r="U10" s="2" t="s">
        <v>31</v>
      </c>
      <c r="V10" s="2"/>
      <c r="W10" s="2" t="s">
        <v>32</v>
      </c>
      <c r="X10" s="2"/>
      <c r="Y10" s="2" t="s">
        <v>33</v>
      </c>
      <c r="Z10" s="2"/>
      <c r="AA10" s="2" t="s">
        <v>34</v>
      </c>
      <c r="AB10" s="2"/>
      <c r="AC10" s="2" t="s">
        <v>35</v>
      </c>
      <c r="AD10" s="2"/>
      <c r="AE10" s="2" t="s">
        <v>36</v>
      </c>
      <c r="AF10" s="2"/>
      <c r="AG10" s="2" t="s">
        <v>37</v>
      </c>
    </row>
    <row r="11" spans="1:33" ht="14.25" customHeight="1">
      <c r="A11" s="6" t="s">
        <v>12</v>
      </c>
      <c r="B11" s="6"/>
      <c r="C11" s="14">
        <f>Inputs!B33*12</f>
        <v>24600</v>
      </c>
      <c r="D11" s="14"/>
      <c r="E11" s="36">
        <f>C11*(1+Inputs!$B$37)</f>
        <v>25830</v>
      </c>
      <c r="F11" s="36"/>
      <c r="G11" s="36">
        <f>E11*(1+Inputs!$B$37)</f>
        <v>27121.5</v>
      </c>
      <c r="H11" s="36"/>
      <c r="I11" s="36">
        <f>G11*(1+Inputs!$B$37)</f>
        <v>28477.575000000001</v>
      </c>
      <c r="J11" s="36"/>
      <c r="K11" s="36">
        <f>I11*(1+Inputs!$B$37)</f>
        <v>29901.453750000001</v>
      </c>
      <c r="L11" s="36"/>
      <c r="M11" s="36">
        <f>K11*(1+Inputs!$B$37)</f>
        <v>31396.526437500001</v>
      </c>
      <c r="N11" s="36"/>
      <c r="O11" s="36">
        <f>M11*(1+Inputs!$B$37)</f>
        <v>32966.352759375004</v>
      </c>
      <c r="P11" s="2"/>
      <c r="Q11" s="36">
        <f>O11*(1+Inputs!$B$37)</f>
        <v>34614.670397343754</v>
      </c>
      <c r="R11" s="2"/>
      <c r="S11" s="36">
        <f>Q11*(1+Inputs!$B$37)</f>
        <v>36345.403917210941</v>
      </c>
      <c r="T11" s="2"/>
      <c r="U11" s="36">
        <f>S11*(1+Inputs!$B$37)</f>
        <v>38162.674113071487</v>
      </c>
      <c r="V11" s="2"/>
      <c r="W11" s="36">
        <f>U11*(1+Inputs!$B$37)</f>
        <v>40070.807818725065</v>
      </c>
      <c r="X11" s="2"/>
      <c r="Y11" s="36">
        <f>W11*(1+Inputs!$B$37)</f>
        <v>42074.348209661322</v>
      </c>
      <c r="Z11" s="2"/>
      <c r="AA11" s="36">
        <f>Y11*(1+Inputs!$B$37)</f>
        <v>44178.065620144393</v>
      </c>
      <c r="AB11" s="2"/>
      <c r="AC11" s="36">
        <f>AA11*(1+Inputs!$B$37)</f>
        <v>46386.968901151617</v>
      </c>
      <c r="AD11" s="2"/>
      <c r="AE11" s="36">
        <f>AC11*(1+Inputs!$B$37)</f>
        <v>48706.317346209202</v>
      </c>
      <c r="AF11" s="2"/>
      <c r="AG11" s="36">
        <f>AE11*(1+Inputs!$B$37)</f>
        <v>51141.633213519664</v>
      </c>
    </row>
    <row r="12" spans="1:33" ht="14.25" customHeight="1">
      <c r="A12" s="6" t="s">
        <v>14</v>
      </c>
      <c r="B12" s="17">
        <f>Inputs!B35</f>
        <v>0.05</v>
      </c>
      <c r="C12" s="18">
        <f>-C11*Inputs!B35</f>
        <v>-1230</v>
      </c>
      <c r="D12" s="14"/>
      <c r="E12" s="46">
        <f>-E11*Inputs!$B$35</f>
        <v>-1291.5</v>
      </c>
      <c r="F12" s="36"/>
      <c r="G12" s="46">
        <f>-G11*Inputs!$B$35</f>
        <v>-1356.075</v>
      </c>
      <c r="H12" s="36"/>
      <c r="I12" s="46">
        <f>-I11*Inputs!$B$35</f>
        <v>-1423.8787500000001</v>
      </c>
      <c r="J12" s="36"/>
      <c r="K12" s="46">
        <f>-K11*Inputs!$B$35</f>
        <v>-1495.0726875</v>
      </c>
      <c r="L12" s="36"/>
      <c r="M12" s="46">
        <f>-M11*Inputs!$B$35</f>
        <v>-1569.8263218750001</v>
      </c>
      <c r="N12" s="36"/>
      <c r="O12" s="46">
        <f>-O11*Inputs!$B$35</f>
        <v>-1648.3176379687502</v>
      </c>
      <c r="P12" s="2"/>
      <c r="Q12" s="46">
        <f>-Q11*Inputs!$B$35</f>
        <v>-1730.7335198671879</v>
      </c>
      <c r="R12" s="2"/>
      <c r="S12" s="46">
        <f>-S11*Inputs!$B$35</f>
        <v>-1817.2701958605471</v>
      </c>
      <c r="T12" s="2"/>
      <c r="U12" s="46">
        <f>-U11*Inputs!$B$35</f>
        <v>-1908.1337056535745</v>
      </c>
      <c r="V12" s="2"/>
      <c r="W12" s="46">
        <f>-W11*Inputs!$B$35</f>
        <v>-2003.5403909362533</v>
      </c>
      <c r="X12" s="2"/>
      <c r="Y12" s="46">
        <f>-Y11*Inputs!$B$35</f>
        <v>-2103.717410483066</v>
      </c>
      <c r="Z12" s="2"/>
      <c r="AA12" s="46">
        <f>-AA11*Inputs!$B$35</f>
        <v>-2208.9032810072199</v>
      </c>
      <c r="AB12" s="2"/>
      <c r="AC12" s="46">
        <f>-AC11*Inputs!$B$35</f>
        <v>-2319.3484450575811</v>
      </c>
      <c r="AD12" s="2"/>
      <c r="AE12" s="46">
        <f>-AE11*Inputs!$B$35</f>
        <v>-2435.3158673104604</v>
      </c>
      <c r="AF12" s="2"/>
      <c r="AG12" s="46">
        <f>-AG11*Inputs!$B$35</f>
        <v>-2557.0816606759836</v>
      </c>
    </row>
    <row r="13" spans="1:33" ht="14.25" customHeight="1">
      <c r="A13" s="4" t="s">
        <v>15</v>
      </c>
      <c r="B13" s="4"/>
      <c r="C13" s="19">
        <f>SUM(C11:C12)</f>
        <v>23370</v>
      </c>
      <c r="D13" s="14"/>
      <c r="E13" s="19">
        <f>SUM(E11:E12)</f>
        <v>24538.5</v>
      </c>
      <c r="F13" s="36"/>
      <c r="G13" s="19">
        <f>SUM(G11:G12)</f>
        <v>25765.424999999999</v>
      </c>
      <c r="H13" s="36"/>
      <c r="I13" s="19">
        <f>SUM(I11:I12)</f>
        <v>27053.696250000001</v>
      </c>
      <c r="J13" s="36"/>
      <c r="K13" s="19">
        <f>SUM(K11:K12)</f>
        <v>28406.381062500001</v>
      </c>
      <c r="L13" s="19"/>
      <c r="M13" s="19">
        <f>SUM(M11:M12)</f>
        <v>29826.700115625001</v>
      </c>
      <c r="N13" s="19"/>
      <c r="O13" s="19">
        <f>SUM(O11:O12)</f>
        <v>31318.035121406254</v>
      </c>
      <c r="P13" s="2"/>
      <c r="Q13" s="19">
        <f>SUM(Q11:Q12)</f>
        <v>32883.936877476568</v>
      </c>
      <c r="R13" s="2"/>
      <c r="S13" s="19">
        <f>SUM(S11:S12)</f>
        <v>34528.133721350394</v>
      </c>
      <c r="T13" s="2"/>
      <c r="U13" s="19">
        <f>SUM(U11:U12)</f>
        <v>36254.54040741791</v>
      </c>
      <c r="V13" s="2"/>
      <c r="W13" s="19">
        <f>SUM(W11:W12)</f>
        <v>38067.267427788815</v>
      </c>
      <c r="X13" s="2"/>
      <c r="Y13" s="19">
        <f>SUM(Y11:Y12)</f>
        <v>39970.63079917826</v>
      </c>
      <c r="Z13" s="2"/>
      <c r="AA13" s="19">
        <f>SUM(AA11:AA12)</f>
        <v>41969.162339137176</v>
      </c>
      <c r="AB13" s="2"/>
      <c r="AC13" s="19">
        <f>SUM(AC11:AC12)</f>
        <v>44067.620456094039</v>
      </c>
      <c r="AD13" s="2"/>
      <c r="AE13" s="19">
        <f>SUM(AE11:AE12)</f>
        <v>46271.001478898739</v>
      </c>
      <c r="AF13" s="2"/>
      <c r="AG13" s="19">
        <f>SUM(AG11:AG12)</f>
        <v>48584.551552843681</v>
      </c>
    </row>
    <row r="14" spans="1:33" ht="14.25" customHeight="1">
      <c r="A14" s="6"/>
      <c r="B14" s="6"/>
      <c r="C14" s="14"/>
      <c r="D14" s="6"/>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14.25" customHeight="1">
      <c r="A15" s="13" t="s">
        <v>16</v>
      </c>
      <c r="B15" s="6"/>
      <c r="C15" s="14"/>
      <c r="D15" s="6"/>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14.25" customHeight="1">
      <c r="A16" s="6" t="s">
        <v>18</v>
      </c>
      <c r="B16" s="6"/>
      <c r="C16" s="14">
        <f>Inputs!B42</f>
        <v>1246</v>
      </c>
      <c r="D16" s="14"/>
      <c r="E16" s="36">
        <f>C16*(1+Inputs!$B$39)</f>
        <v>1320.76</v>
      </c>
      <c r="F16" s="36"/>
      <c r="G16" s="36">
        <f>E16*(1+Inputs!$B$39)</f>
        <v>1400.0056</v>
      </c>
      <c r="H16" s="36"/>
      <c r="I16" s="36">
        <f>G16*(1+Inputs!$B$39)</f>
        <v>1484.005936</v>
      </c>
      <c r="J16" s="36"/>
      <c r="K16" s="36">
        <f>I16*(1+Inputs!$B$39)</f>
        <v>1573.0462921600001</v>
      </c>
      <c r="L16" s="36"/>
      <c r="M16" s="36">
        <f>K16*(1+Inputs!$B$39)</f>
        <v>1667.4290696896003</v>
      </c>
      <c r="N16" s="36"/>
      <c r="O16" s="36">
        <f>M16*(1+Inputs!$B$39)</f>
        <v>1767.4748138709763</v>
      </c>
      <c r="P16" s="2"/>
      <c r="Q16" s="36">
        <f>O16*(1+Inputs!$B$39)</f>
        <v>1873.523302703235</v>
      </c>
      <c r="R16" s="2"/>
      <c r="S16" s="36">
        <f>Q16*(1+Inputs!$B$39)</f>
        <v>1985.9347008654292</v>
      </c>
      <c r="T16" s="2"/>
      <c r="U16" s="36">
        <f>S16*(1+Inputs!$B$39)</f>
        <v>2105.0907829173552</v>
      </c>
      <c r="V16" s="2"/>
      <c r="W16" s="36">
        <f>U16*(1+Inputs!$B$39)</f>
        <v>2231.3962298923966</v>
      </c>
      <c r="X16" s="2"/>
      <c r="Y16" s="36">
        <f>W16*(1+Inputs!$B$39)</f>
        <v>2365.2800036859403</v>
      </c>
      <c r="Z16" s="2"/>
      <c r="AA16" s="36">
        <f>Y16*(1+Inputs!$B$39)</f>
        <v>2507.1968039070966</v>
      </c>
      <c r="AB16" s="2"/>
      <c r="AC16" s="36">
        <f>AA16*(1+Inputs!$B$39)</f>
        <v>2657.6286121415224</v>
      </c>
      <c r="AD16" s="2"/>
      <c r="AE16" s="36">
        <f>AC16*(1+Inputs!$B$39)</f>
        <v>2817.0863288700139</v>
      </c>
      <c r="AF16" s="2"/>
      <c r="AG16" s="36">
        <f>AE16*(1+Inputs!$B$39)</f>
        <v>2986.1115086022151</v>
      </c>
    </row>
    <row r="17" spans="1:33" ht="14.25" customHeight="1">
      <c r="A17" s="6" t="s">
        <v>27</v>
      </c>
      <c r="B17" s="6"/>
      <c r="C17" s="14">
        <f>Inputs!B43</f>
        <v>300</v>
      </c>
      <c r="D17" s="14"/>
      <c r="E17" s="36">
        <f t="shared" ref="E17:E30" si="0">C17*(1.03)</f>
        <v>309</v>
      </c>
      <c r="F17" s="36"/>
      <c r="G17" s="36">
        <f t="shared" ref="G17:G30" si="1">E17*(1.03)</f>
        <v>318.27</v>
      </c>
      <c r="H17" s="36"/>
      <c r="I17" s="36">
        <f t="shared" ref="I17:I30" si="2">G17*(1.03)</f>
        <v>327.81810000000002</v>
      </c>
      <c r="J17" s="36"/>
      <c r="K17" s="36">
        <f t="shared" ref="K17:K30" si="3">I17*(1.03)</f>
        <v>337.65264300000001</v>
      </c>
      <c r="L17" s="36"/>
      <c r="M17" s="36">
        <f t="shared" ref="M17:M30" si="4">K17*(1.03)</f>
        <v>347.78222228999999</v>
      </c>
      <c r="N17" s="36"/>
      <c r="O17" s="36">
        <f t="shared" ref="O17:O30" si="5">M17*(1.03)</f>
        <v>358.21568895870001</v>
      </c>
      <c r="P17" s="2"/>
      <c r="Q17" s="36">
        <f t="shared" ref="Q17:Q30" si="6">O17*(1.03)</f>
        <v>368.96215962746101</v>
      </c>
      <c r="R17" s="2"/>
      <c r="S17" s="36">
        <f t="shared" ref="S17:S30" si="7">Q17*(1.03)</f>
        <v>380.03102441628482</v>
      </c>
      <c r="T17" s="2"/>
      <c r="U17" s="36">
        <f t="shared" ref="U17:U30" si="8">S17*(1.03)</f>
        <v>391.4319551487734</v>
      </c>
      <c r="V17" s="2"/>
      <c r="W17" s="36">
        <f t="shared" ref="W17:W30" si="9">U17*(1.03)</f>
        <v>403.17491380323662</v>
      </c>
      <c r="X17" s="2"/>
      <c r="Y17" s="36">
        <f t="shared" ref="Y17:Y30" si="10">W17*(1.03)</f>
        <v>415.27016121733374</v>
      </c>
      <c r="Z17" s="2"/>
      <c r="AA17" s="36">
        <f t="shared" ref="AA17:AA30" si="11">Y17*(1.03)</f>
        <v>427.72826605385376</v>
      </c>
      <c r="AB17" s="2"/>
      <c r="AC17" s="36">
        <f t="shared" ref="AC17:AC30" si="12">AA17*(1.03)</f>
        <v>440.56011403546938</v>
      </c>
      <c r="AD17" s="2"/>
      <c r="AE17" s="36">
        <f t="shared" ref="AE17:AE30" si="13">AC17*(1.03)</f>
        <v>453.77691745653345</v>
      </c>
      <c r="AF17" s="2"/>
      <c r="AG17" s="36">
        <f t="shared" ref="AG17:AG30" si="14">AE17*(1.03)</f>
        <v>467.39022498022945</v>
      </c>
    </row>
    <row r="18" spans="1:33" ht="14.25" customHeight="1">
      <c r="A18" s="6" t="s">
        <v>38</v>
      </c>
      <c r="B18" s="6"/>
      <c r="C18" s="14">
        <f>Inputs!B44</f>
        <v>0</v>
      </c>
      <c r="D18" s="14"/>
      <c r="E18" s="36">
        <f t="shared" si="0"/>
        <v>0</v>
      </c>
      <c r="F18" s="36"/>
      <c r="G18" s="36">
        <f t="shared" si="1"/>
        <v>0</v>
      </c>
      <c r="H18" s="36"/>
      <c r="I18" s="36">
        <f t="shared" si="2"/>
        <v>0</v>
      </c>
      <c r="J18" s="36"/>
      <c r="K18" s="36">
        <f t="shared" si="3"/>
        <v>0</v>
      </c>
      <c r="L18" s="36"/>
      <c r="M18" s="36">
        <f t="shared" si="4"/>
        <v>0</v>
      </c>
      <c r="N18" s="36"/>
      <c r="O18" s="36">
        <f t="shared" si="5"/>
        <v>0</v>
      </c>
      <c r="P18" s="2"/>
      <c r="Q18" s="36">
        <f t="shared" si="6"/>
        <v>0</v>
      </c>
      <c r="R18" s="2"/>
      <c r="S18" s="36">
        <f t="shared" si="7"/>
        <v>0</v>
      </c>
      <c r="T18" s="2"/>
      <c r="U18" s="36">
        <f t="shared" si="8"/>
        <v>0</v>
      </c>
      <c r="V18" s="2"/>
      <c r="W18" s="36">
        <f t="shared" si="9"/>
        <v>0</v>
      </c>
      <c r="X18" s="2"/>
      <c r="Y18" s="36">
        <f t="shared" si="10"/>
        <v>0</v>
      </c>
      <c r="Z18" s="2"/>
      <c r="AA18" s="36">
        <f t="shared" si="11"/>
        <v>0</v>
      </c>
      <c r="AB18" s="2"/>
      <c r="AC18" s="36">
        <f t="shared" si="12"/>
        <v>0</v>
      </c>
      <c r="AD18" s="2"/>
      <c r="AE18" s="36">
        <f t="shared" si="13"/>
        <v>0</v>
      </c>
      <c r="AF18" s="2"/>
      <c r="AG18" s="36">
        <f t="shared" si="14"/>
        <v>0</v>
      </c>
    </row>
    <row r="19" spans="1:33" ht="14.25" customHeight="1">
      <c r="A19" s="6" t="s">
        <v>39</v>
      </c>
      <c r="B19" s="6"/>
      <c r="C19" s="14">
        <f>Inputs!B45</f>
        <v>1230</v>
      </c>
      <c r="D19" s="14"/>
      <c r="E19" s="36">
        <f t="shared" si="0"/>
        <v>1266.9000000000001</v>
      </c>
      <c r="F19" s="36"/>
      <c r="G19" s="36">
        <f t="shared" si="1"/>
        <v>1304.9070000000002</v>
      </c>
      <c r="H19" s="36"/>
      <c r="I19" s="36">
        <f t="shared" si="2"/>
        <v>1344.0542100000002</v>
      </c>
      <c r="J19" s="36"/>
      <c r="K19" s="36">
        <f t="shared" si="3"/>
        <v>1384.3758363000002</v>
      </c>
      <c r="L19" s="36"/>
      <c r="M19" s="36">
        <f t="shared" si="4"/>
        <v>1425.9071113890002</v>
      </c>
      <c r="N19" s="36"/>
      <c r="O19" s="36">
        <f t="shared" si="5"/>
        <v>1468.6843247306701</v>
      </c>
      <c r="P19" s="2"/>
      <c r="Q19" s="36">
        <f t="shared" si="6"/>
        <v>1512.7448544725903</v>
      </c>
      <c r="R19" s="2"/>
      <c r="S19" s="36">
        <f t="shared" si="7"/>
        <v>1558.127200106768</v>
      </c>
      <c r="T19" s="2"/>
      <c r="U19" s="36">
        <f t="shared" si="8"/>
        <v>1604.8710161099712</v>
      </c>
      <c r="V19" s="2"/>
      <c r="W19" s="36">
        <f t="shared" si="9"/>
        <v>1653.0171465932704</v>
      </c>
      <c r="X19" s="2"/>
      <c r="Y19" s="36">
        <f t="shared" si="10"/>
        <v>1702.6076609910685</v>
      </c>
      <c r="Z19" s="2"/>
      <c r="AA19" s="36">
        <f t="shared" si="11"/>
        <v>1753.6858908208008</v>
      </c>
      <c r="AB19" s="2"/>
      <c r="AC19" s="36">
        <f t="shared" si="12"/>
        <v>1806.2964675454248</v>
      </c>
      <c r="AD19" s="2"/>
      <c r="AE19" s="36">
        <f t="shared" si="13"/>
        <v>1860.4853615717875</v>
      </c>
      <c r="AF19" s="2"/>
      <c r="AG19" s="36">
        <f t="shared" si="14"/>
        <v>1916.2999224189412</v>
      </c>
    </row>
    <row r="20" spans="1:33" ht="14.25" customHeight="1">
      <c r="A20" s="6" t="s">
        <v>41</v>
      </c>
      <c r="B20" s="6"/>
      <c r="C20" s="14">
        <f>Inputs!B46</f>
        <v>0</v>
      </c>
      <c r="D20" s="14"/>
      <c r="E20" s="36">
        <f t="shared" si="0"/>
        <v>0</v>
      </c>
      <c r="F20" s="36"/>
      <c r="G20" s="36">
        <f t="shared" si="1"/>
        <v>0</v>
      </c>
      <c r="H20" s="36"/>
      <c r="I20" s="36">
        <f t="shared" si="2"/>
        <v>0</v>
      </c>
      <c r="J20" s="36"/>
      <c r="K20" s="36">
        <f t="shared" si="3"/>
        <v>0</v>
      </c>
      <c r="L20" s="36"/>
      <c r="M20" s="36">
        <f t="shared" si="4"/>
        <v>0</v>
      </c>
      <c r="N20" s="36"/>
      <c r="O20" s="36">
        <f t="shared" si="5"/>
        <v>0</v>
      </c>
      <c r="P20" s="2"/>
      <c r="Q20" s="36">
        <f t="shared" si="6"/>
        <v>0</v>
      </c>
      <c r="R20" s="2"/>
      <c r="S20" s="36">
        <f t="shared" si="7"/>
        <v>0</v>
      </c>
      <c r="T20" s="2"/>
      <c r="U20" s="36">
        <f t="shared" si="8"/>
        <v>0</v>
      </c>
      <c r="V20" s="2"/>
      <c r="W20" s="36">
        <f t="shared" si="9"/>
        <v>0</v>
      </c>
      <c r="X20" s="2"/>
      <c r="Y20" s="36">
        <f t="shared" si="10"/>
        <v>0</v>
      </c>
      <c r="Z20" s="2"/>
      <c r="AA20" s="36">
        <f t="shared" si="11"/>
        <v>0</v>
      </c>
      <c r="AB20" s="2"/>
      <c r="AC20" s="36">
        <f t="shared" si="12"/>
        <v>0</v>
      </c>
      <c r="AD20" s="2"/>
      <c r="AE20" s="36">
        <f t="shared" si="13"/>
        <v>0</v>
      </c>
      <c r="AF20" s="2"/>
      <c r="AG20" s="36">
        <f t="shared" si="14"/>
        <v>0</v>
      </c>
    </row>
    <row r="21" spans="1:33" ht="14.25" customHeight="1">
      <c r="A21" s="6" t="s">
        <v>42</v>
      </c>
      <c r="B21" s="6"/>
      <c r="C21" s="14">
        <f>Inputs!B47</f>
        <v>0</v>
      </c>
      <c r="D21" s="14"/>
      <c r="E21" s="36">
        <f t="shared" si="0"/>
        <v>0</v>
      </c>
      <c r="F21" s="36"/>
      <c r="G21" s="36">
        <f t="shared" si="1"/>
        <v>0</v>
      </c>
      <c r="H21" s="36"/>
      <c r="I21" s="36">
        <f t="shared" si="2"/>
        <v>0</v>
      </c>
      <c r="J21" s="36"/>
      <c r="K21" s="36">
        <f t="shared" si="3"/>
        <v>0</v>
      </c>
      <c r="L21" s="36"/>
      <c r="M21" s="36">
        <f t="shared" si="4"/>
        <v>0</v>
      </c>
      <c r="N21" s="36"/>
      <c r="O21" s="36">
        <f t="shared" si="5"/>
        <v>0</v>
      </c>
      <c r="P21" s="2"/>
      <c r="Q21" s="36">
        <f t="shared" si="6"/>
        <v>0</v>
      </c>
      <c r="R21" s="2"/>
      <c r="S21" s="36">
        <f t="shared" si="7"/>
        <v>0</v>
      </c>
      <c r="T21" s="2"/>
      <c r="U21" s="36">
        <f t="shared" si="8"/>
        <v>0</v>
      </c>
      <c r="V21" s="2"/>
      <c r="W21" s="36">
        <f t="shared" si="9"/>
        <v>0</v>
      </c>
      <c r="X21" s="2"/>
      <c r="Y21" s="36">
        <f t="shared" si="10"/>
        <v>0</v>
      </c>
      <c r="Z21" s="2"/>
      <c r="AA21" s="36">
        <f t="shared" si="11"/>
        <v>0</v>
      </c>
      <c r="AB21" s="2"/>
      <c r="AC21" s="36">
        <f t="shared" si="12"/>
        <v>0</v>
      </c>
      <c r="AD21" s="2"/>
      <c r="AE21" s="36">
        <f t="shared" si="13"/>
        <v>0</v>
      </c>
      <c r="AF21" s="2"/>
      <c r="AG21" s="36">
        <f t="shared" si="14"/>
        <v>0</v>
      </c>
    </row>
    <row r="22" spans="1:33" ht="14.25" customHeight="1">
      <c r="A22" s="6" t="s">
        <v>44</v>
      </c>
      <c r="B22" s="6"/>
      <c r="C22" s="14">
        <f>Inputs!B48</f>
        <v>0</v>
      </c>
      <c r="D22" s="14"/>
      <c r="E22" s="36">
        <f t="shared" si="0"/>
        <v>0</v>
      </c>
      <c r="F22" s="36"/>
      <c r="G22" s="36">
        <f t="shared" si="1"/>
        <v>0</v>
      </c>
      <c r="H22" s="36"/>
      <c r="I22" s="36">
        <f t="shared" si="2"/>
        <v>0</v>
      </c>
      <c r="J22" s="36"/>
      <c r="K22" s="36">
        <f t="shared" si="3"/>
        <v>0</v>
      </c>
      <c r="L22" s="36"/>
      <c r="M22" s="36">
        <f t="shared" si="4"/>
        <v>0</v>
      </c>
      <c r="N22" s="36"/>
      <c r="O22" s="36">
        <f t="shared" si="5"/>
        <v>0</v>
      </c>
      <c r="P22" s="2"/>
      <c r="Q22" s="36">
        <f t="shared" si="6"/>
        <v>0</v>
      </c>
      <c r="R22" s="2"/>
      <c r="S22" s="36">
        <f t="shared" si="7"/>
        <v>0</v>
      </c>
      <c r="T22" s="2"/>
      <c r="U22" s="36">
        <f t="shared" si="8"/>
        <v>0</v>
      </c>
      <c r="V22" s="2"/>
      <c r="W22" s="36">
        <f t="shared" si="9"/>
        <v>0</v>
      </c>
      <c r="X22" s="2"/>
      <c r="Y22" s="36">
        <f t="shared" si="10"/>
        <v>0</v>
      </c>
      <c r="Z22" s="2"/>
      <c r="AA22" s="36">
        <f t="shared" si="11"/>
        <v>0</v>
      </c>
      <c r="AB22" s="2"/>
      <c r="AC22" s="36">
        <f t="shared" si="12"/>
        <v>0</v>
      </c>
      <c r="AD22" s="2"/>
      <c r="AE22" s="36">
        <f t="shared" si="13"/>
        <v>0</v>
      </c>
      <c r="AF22" s="2"/>
      <c r="AG22" s="36">
        <f t="shared" si="14"/>
        <v>0</v>
      </c>
    </row>
    <row r="23" spans="1:33" ht="14.25" customHeight="1">
      <c r="A23" s="6" t="s">
        <v>47</v>
      </c>
      <c r="B23" s="6"/>
      <c r="C23" s="14">
        <f>Inputs!B49</f>
        <v>0</v>
      </c>
      <c r="D23" s="14"/>
      <c r="E23" s="36">
        <f t="shared" si="0"/>
        <v>0</v>
      </c>
      <c r="F23" s="36"/>
      <c r="G23" s="36">
        <f t="shared" si="1"/>
        <v>0</v>
      </c>
      <c r="H23" s="36"/>
      <c r="I23" s="36">
        <f t="shared" si="2"/>
        <v>0</v>
      </c>
      <c r="J23" s="36"/>
      <c r="K23" s="36">
        <f t="shared" si="3"/>
        <v>0</v>
      </c>
      <c r="L23" s="36"/>
      <c r="M23" s="36">
        <f t="shared" si="4"/>
        <v>0</v>
      </c>
      <c r="N23" s="36"/>
      <c r="O23" s="36">
        <f t="shared" si="5"/>
        <v>0</v>
      </c>
      <c r="P23" s="2"/>
      <c r="Q23" s="36">
        <f t="shared" si="6"/>
        <v>0</v>
      </c>
      <c r="R23" s="2"/>
      <c r="S23" s="36">
        <f t="shared" si="7"/>
        <v>0</v>
      </c>
      <c r="T23" s="2"/>
      <c r="U23" s="36">
        <f t="shared" si="8"/>
        <v>0</v>
      </c>
      <c r="V23" s="2"/>
      <c r="W23" s="36">
        <f t="shared" si="9"/>
        <v>0</v>
      </c>
      <c r="X23" s="2"/>
      <c r="Y23" s="36">
        <f t="shared" si="10"/>
        <v>0</v>
      </c>
      <c r="Z23" s="2"/>
      <c r="AA23" s="36">
        <f t="shared" si="11"/>
        <v>0</v>
      </c>
      <c r="AB23" s="2"/>
      <c r="AC23" s="36">
        <f t="shared" si="12"/>
        <v>0</v>
      </c>
      <c r="AD23" s="2"/>
      <c r="AE23" s="36">
        <f t="shared" si="13"/>
        <v>0</v>
      </c>
      <c r="AF23" s="2"/>
      <c r="AG23" s="36">
        <f t="shared" si="14"/>
        <v>0</v>
      </c>
    </row>
    <row r="24" spans="1:33" ht="14.25" customHeight="1">
      <c r="A24" s="6" t="s">
        <v>50</v>
      </c>
      <c r="B24" s="6"/>
      <c r="C24" s="14">
        <f>Inputs!B50</f>
        <v>0</v>
      </c>
      <c r="D24" s="14"/>
      <c r="E24" s="36">
        <f t="shared" si="0"/>
        <v>0</v>
      </c>
      <c r="F24" s="36"/>
      <c r="G24" s="36">
        <f t="shared" si="1"/>
        <v>0</v>
      </c>
      <c r="H24" s="36"/>
      <c r="I24" s="36">
        <f t="shared" si="2"/>
        <v>0</v>
      </c>
      <c r="J24" s="36"/>
      <c r="K24" s="36">
        <f t="shared" si="3"/>
        <v>0</v>
      </c>
      <c r="L24" s="36"/>
      <c r="M24" s="36">
        <f t="shared" si="4"/>
        <v>0</v>
      </c>
      <c r="N24" s="36"/>
      <c r="O24" s="36">
        <f t="shared" si="5"/>
        <v>0</v>
      </c>
      <c r="P24" s="2"/>
      <c r="Q24" s="36">
        <f t="shared" si="6"/>
        <v>0</v>
      </c>
      <c r="R24" s="2"/>
      <c r="S24" s="36">
        <f t="shared" si="7"/>
        <v>0</v>
      </c>
      <c r="T24" s="2"/>
      <c r="U24" s="36">
        <f t="shared" si="8"/>
        <v>0</v>
      </c>
      <c r="V24" s="2"/>
      <c r="W24" s="36">
        <f t="shared" si="9"/>
        <v>0</v>
      </c>
      <c r="X24" s="2"/>
      <c r="Y24" s="36">
        <f t="shared" si="10"/>
        <v>0</v>
      </c>
      <c r="Z24" s="2"/>
      <c r="AA24" s="36">
        <f t="shared" si="11"/>
        <v>0</v>
      </c>
      <c r="AB24" s="2"/>
      <c r="AC24" s="36">
        <f t="shared" si="12"/>
        <v>0</v>
      </c>
      <c r="AD24" s="2"/>
      <c r="AE24" s="36">
        <f t="shared" si="13"/>
        <v>0</v>
      </c>
      <c r="AF24" s="2"/>
      <c r="AG24" s="36">
        <f t="shared" si="14"/>
        <v>0</v>
      </c>
    </row>
    <row r="25" spans="1:33" ht="14.25" customHeight="1">
      <c r="A25" s="6" t="str">
        <f>Inputs!A51</f>
        <v>HOA Dues</v>
      </c>
      <c r="B25" s="6"/>
      <c r="C25" s="14">
        <f>Inputs!B51</f>
        <v>1680</v>
      </c>
      <c r="D25" s="14"/>
      <c r="E25" s="36">
        <f t="shared" si="0"/>
        <v>1730.4</v>
      </c>
      <c r="F25" s="36"/>
      <c r="G25" s="36">
        <f t="shared" si="1"/>
        <v>1782.3120000000001</v>
      </c>
      <c r="H25" s="36"/>
      <c r="I25" s="36">
        <f t="shared" si="2"/>
        <v>1835.7813600000002</v>
      </c>
      <c r="J25" s="36"/>
      <c r="K25" s="36">
        <f t="shared" si="3"/>
        <v>1890.8548008000002</v>
      </c>
      <c r="L25" s="36"/>
      <c r="M25" s="36">
        <f t="shared" si="4"/>
        <v>1947.5804448240003</v>
      </c>
      <c r="N25" s="36"/>
      <c r="O25" s="36">
        <f t="shared" si="5"/>
        <v>2006.0078581687203</v>
      </c>
      <c r="P25" s="2"/>
      <c r="Q25" s="36">
        <f t="shared" si="6"/>
        <v>2066.1880939137818</v>
      </c>
      <c r="R25" s="2"/>
      <c r="S25" s="36">
        <f t="shared" si="7"/>
        <v>2128.1737367311953</v>
      </c>
      <c r="T25" s="2"/>
      <c r="U25" s="36">
        <f t="shared" si="8"/>
        <v>2192.0189488331312</v>
      </c>
      <c r="V25" s="2"/>
      <c r="W25" s="36">
        <f t="shared" si="9"/>
        <v>2257.779517298125</v>
      </c>
      <c r="X25" s="2"/>
      <c r="Y25" s="36">
        <f t="shared" si="10"/>
        <v>2325.5129028170691</v>
      </c>
      <c r="Z25" s="2"/>
      <c r="AA25" s="36">
        <f t="shared" si="11"/>
        <v>2395.278289901581</v>
      </c>
      <c r="AB25" s="2"/>
      <c r="AC25" s="36">
        <f t="shared" si="12"/>
        <v>2467.1366385986285</v>
      </c>
      <c r="AD25" s="2"/>
      <c r="AE25" s="36">
        <f t="shared" si="13"/>
        <v>2541.1507377565872</v>
      </c>
      <c r="AF25" s="2"/>
      <c r="AG25" s="36">
        <f t="shared" si="14"/>
        <v>2617.385259889285</v>
      </c>
    </row>
    <row r="26" spans="1:33" ht="14.25" customHeight="1">
      <c r="A26" s="6" t="str">
        <f>Inputs!A52</f>
        <v>Other</v>
      </c>
      <c r="B26" s="6"/>
      <c r="C26" s="14">
        <f>Inputs!B52</f>
        <v>0</v>
      </c>
      <c r="D26" s="14"/>
      <c r="E26" s="36">
        <f t="shared" si="0"/>
        <v>0</v>
      </c>
      <c r="F26" s="36"/>
      <c r="G26" s="36">
        <f t="shared" si="1"/>
        <v>0</v>
      </c>
      <c r="H26" s="36"/>
      <c r="I26" s="36">
        <f t="shared" si="2"/>
        <v>0</v>
      </c>
      <c r="J26" s="36"/>
      <c r="K26" s="36">
        <f t="shared" si="3"/>
        <v>0</v>
      </c>
      <c r="L26" s="36"/>
      <c r="M26" s="36">
        <f t="shared" si="4"/>
        <v>0</v>
      </c>
      <c r="N26" s="36"/>
      <c r="O26" s="36">
        <f t="shared" si="5"/>
        <v>0</v>
      </c>
      <c r="P26" s="2"/>
      <c r="Q26" s="36">
        <f t="shared" si="6"/>
        <v>0</v>
      </c>
      <c r="R26" s="2"/>
      <c r="S26" s="36">
        <f t="shared" si="7"/>
        <v>0</v>
      </c>
      <c r="T26" s="2"/>
      <c r="U26" s="36">
        <f t="shared" si="8"/>
        <v>0</v>
      </c>
      <c r="V26" s="2"/>
      <c r="W26" s="36">
        <f t="shared" si="9"/>
        <v>0</v>
      </c>
      <c r="X26" s="2"/>
      <c r="Y26" s="36">
        <f t="shared" si="10"/>
        <v>0</v>
      </c>
      <c r="Z26" s="2"/>
      <c r="AA26" s="36">
        <f t="shared" si="11"/>
        <v>0</v>
      </c>
      <c r="AB26" s="2"/>
      <c r="AC26" s="36">
        <f t="shared" si="12"/>
        <v>0</v>
      </c>
      <c r="AD26" s="2"/>
      <c r="AE26" s="36">
        <f t="shared" si="13"/>
        <v>0</v>
      </c>
      <c r="AF26" s="2"/>
      <c r="AG26" s="36">
        <f t="shared" si="14"/>
        <v>0</v>
      </c>
    </row>
    <row r="27" spans="1:33" ht="14.25" customHeight="1">
      <c r="A27" s="6" t="str">
        <f>Inputs!A53</f>
        <v>Other</v>
      </c>
      <c r="B27" s="6"/>
      <c r="C27" s="14">
        <f>Inputs!B53</f>
        <v>0</v>
      </c>
      <c r="D27" s="14"/>
      <c r="E27" s="36">
        <f t="shared" si="0"/>
        <v>0</v>
      </c>
      <c r="F27" s="36"/>
      <c r="G27" s="36">
        <f t="shared" si="1"/>
        <v>0</v>
      </c>
      <c r="H27" s="36"/>
      <c r="I27" s="36">
        <f t="shared" si="2"/>
        <v>0</v>
      </c>
      <c r="J27" s="36"/>
      <c r="K27" s="36">
        <f t="shared" si="3"/>
        <v>0</v>
      </c>
      <c r="L27" s="36"/>
      <c r="M27" s="36">
        <f t="shared" si="4"/>
        <v>0</v>
      </c>
      <c r="N27" s="36"/>
      <c r="O27" s="36">
        <f t="shared" si="5"/>
        <v>0</v>
      </c>
      <c r="P27" s="2"/>
      <c r="Q27" s="36">
        <f t="shared" si="6"/>
        <v>0</v>
      </c>
      <c r="R27" s="2"/>
      <c r="S27" s="36">
        <f t="shared" si="7"/>
        <v>0</v>
      </c>
      <c r="T27" s="2"/>
      <c r="U27" s="36">
        <f t="shared" si="8"/>
        <v>0</v>
      </c>
      <c r="V27" s="2"/>
      <c r="W27" s="36">
        <f t="shared" si="9"/>
        <v>0</v>
      </c>
      <c r="X27" s="2"/>
      <c r="Y27" s="36">
        <f t="shared" si="10"/>
        <v>0</v>
      </c>
      <c r="Z27" s="2"/>
      <c r="AA27" s="36">
        <f t="shared" si="11"/>
        <v>0</v>
      </c>
      <c r="AB27" s="2"/>
      <c r="AC27" s="36">
        <f t="shared" si="12"/>
        <v>0</v>
      </c>
      <c r="AD27" s="2"/>
      <c r="AE27" s="36">
        <f t="shared" si="13"/>
        <v>0</v>
      </c>
      <c r="AF27" s="2"/>
      <c r="AG27" s="36">
        <f t="shared" si="14"/>
        <v>0</v>
      </c>
    </row>
    <row r="28" spans="1:33" ht="14.25" customHeight="1">
      <c r="A28" s="6" t="str">
        <f>Inputs!A54</f>
        <v>Other</v>
      </c>
      <c r="B28" s="6"/>
      <c r="C28" s="14">
        <f>Inputs!B54</f>
        <v>0</v>
      </c>
      <c r="D28" s="14"/>
      <c r="E28" s="36">
        <f t="shared" si="0"/>
        <v>0</v>
      </c>
      <c r="F28" s="36"/>
      <c r="G28" s="36">
        <f t="shared" si="1"/>
        <v>0</v>
      </c>
      <c r="H28" s="36"/>
      <c r="I28" s="36">
        <f t="shared" si="2"/>
        <v>0</v>
      </c>
      <c r="J28" s="36"/>
      <c r="K28" s="36">
        <f t="shared" si="3"/>
        <v>0</v>
      </c>
      <c r="L28" s="36"/>
      <c r="M28" s="36">
        <f t="shared" si="4"/>
        <v>0</v>
      </c>
      <c r="N28" s="36"/>
      <c r="O28" s="36">
        <f t="shared" si="5"/>
        <v>0</v>
      </c>
      <c r="P28" s="2"/>
      <c r="Q28" s="36">
        <f t="shared" si="6"/>
        <v>0</v>
      </c>
      <c r="R28" s="2"/>
      <c r="S28" s="36">
        <f t="shared" si="7"/>
        <v>0</v>
      </c>
      <c r="T28" s="2"/>
      <c r="U28" s="36">
        <f t="shared" si="8"/>
        <v>0</v>
      </c>
      <c r="V28" s="2"/>
      <c r="W28" s="36">
        <f t="shared" si="9"/>
        <v>0</v>
      </c>
      <c r="X28" s="2"/>
      <c r="Y28" s="36">
        <f t="shared" si="10"/>
        <v>0</v>
      </c>
      <c r="Z28" s="2"/>
      <c r="AA28" s="36">
        <f t="shared" si="11"/>
        <v>0</v>
      </c>
      <c r="AB28" s="2"/>
      <c r="AC28" s="36">
        <f t="shared" si="12"/>
        <v>0</v>
      </c>
      <c r="AD28" s="2"/>
      <c r="AE28" s="36">
        <f t="shared" si="13"/>
        <v>0</v>
      </c>
      <c r="AF28" s="2"/>
      <c r="AG28" s="36">
        <f t="shared" si="14"/>
        <v>0</v>
      </c>
    </row>
    <row r="29" spans="1:33" ht="14.25" customHeight="1">
      <c r="A29" s="6" t="str">
        <f>Inputs!A55</f>
        <v>Other</v>
      </c>
      <c r="B29" s="6"/>
      <c r="C29" s="14">
        <f>Inputs!B55</f>
        <v>0</v>
      </c>
      <c r="D29" s="14"/>
      <c r="E29" s="36">
        <f t="shared" si="0"/>
        <v>0</v>
      </c>
      <c r="F29" s="36"/>
      <c r="G29" s="36">
        <f t="shared" si="1"/>
        <v>0</v>
      </c>
      <c r="H29" s="36"/>
      <c r="I29" s="36">
        <f t="shared" si="2"/>
        <v>0</v>
      </c>
      <c r="J29" s="36"/>
      <c r="K29" s="36">
        <f t="shared" si="3"/>
        <v>0</v>
      </c>
      <c r="L29" s="36"/>
      <c r="M29" s="36">
        <f t="shared" si="4"/>
        <v>0</v>
      </c>
      <c r="N29" s="36"/>
      <c r="O29" s="36">
        <f t="shared" si="5"/>
        <v>0</v>
      </c>
      <c r="P29" s="2"/>
      <c r="Q29" s="36">
        <f t="shared" si="6"/>
        <v>0</v>
      </c>
      <c r="R29" s="2"/>
      <c r="S29" s="36">
        <f t="shared" si="7"/>
        <v>0</v>
      </c>
      <c r="T29" s="2"/>
      <c r="U29" s="36">
        <f t="shared" si="8"/>
        <v>0</v>
      </c>
      <c r="V29" s="2"/>
      <c r="W29" s="36">
        <f t="shared" si="9"/>
        <v>0</v>
      </c>
      <c r="X29" s="2"/>
      <c r="Y29" s="36">
        <f t="shared" si="10"/>
        <v>0</v>
      </c>
      <c r="Z29" s="2"/>
      <c r="AA29" s="36">
        <f t="shared" si="11"/>
        <v>0</v>
      </c>
      <c r="AB29" s="2"/>
      <c r="AC29" s="36">
        <f t="shared" si="12"/>
        <v>0</v>
      </c>
      <c r="AD29" s="2"/>
      <c r="AE29" s="36">
        <f t="shared" si="13"/>
        <v>0</v>
      </c>
      <c r="AF29" s="2"/>
      <c r="AG29" s="36">
        <f t="shared" si="14"/>
        <v>0</v>
      </c>
    </row>
    <row r="30" spans="1:33" ht="14.25" customHeight="1">
      <c r="A30" s="6" t="str">
        <f>Inputs!A56</f>
        <v>Other</v>
      </c>
      <c r="B30" s="6"/>
      <c r="C30" s="18">
        <f>Inputs!B56</f>
        <v>0</v>
      </c>
      <c r="D30" s="14"/>
      <c r="E30" s="46">
        <f t="shared" si="0"/>
        <v>0</v>
      </c>
      <c r="F30" s="36"/>
      <c r="G30" s="46">
        <f t="shared" si="1"/>
        <v>0</v>
      </c>
      <c r="H30" s="36"/>
      <c r="I30" s="46">
        <f t="shared" si="2"/>
        <v>0</v>
      </c>
      <c r="J30" s="36"/>
      <c r="K30" s="46">
        <f t="shared" si="3"/>
        <v>0</v>
      </c>
      <c r="L30" s="36"/>
      <c r="M30" s="46">
        <f t="shared" si="4"/>
        <v>0</v>
      </c>
      <c r="N30" s="36"/>
      <c r="O30" s="46">
        <f t="shared" si="5"/>
        <v>0</v>
      </c>
      <c r="P30" s="2"/>
      <c r="Q30" s="46">
        <f t="shared" si="6"/>
        <v>0</v>
      </c>
      <c r="R30" s="2"/>
      <c r="S30" s="46">
        <f t="shared" si="7"/>
        <v>0</v>
      </c>
      <c r="T30" s="2"/>
      <c r="U30" s="46">
        <f t="shared" si="8"/>
        <v>0</v>
      </c>
      <c r="V30" s="2"/>
      <c r="W30" s="46">
        <f t="shared" si="9"/>
        <v>0</v>
      </c>
      <c r="X30" s="2"/>
      <c r="Y30" s="46">
        <f t="shared" si="10"/>
        <v>0</v>
      </c>
      <c r="Z30" s="2"/>
      <c r="AA30" s="46">
        <f t="shared" si="11"/>
        <v>0</v>
      </c>
      <c r="AB30" s="2"/>
      <c r="AC30" s="46">
        <f t="shared" si="12"/>
        <v>0</v>
      </c>
      <c r="AD30" s="2"/>
      <c r="AE30" s="46">
        <f t="shared" si="13"/>
        <v>0</v>
      </c>
      <c r="AF30" s="2"/>
      <c r="AG30" s="46">
        <f t="shared" si="14"/>
        <v>0</v>
      </c>
    </row>
    <row r="31" spans="1:33" ht="14.25" customHeight="1">
      <c r="A31" s="4" t="s">
        <v>56</v>
      </c>
      <c r="B31" s="6"/>
      <c r="C31" s="19">
        <f>SUM(C16:C30)</f>
        <v>4456</v>
      </c>
      <c r="D31" s="14"/>
      <c r="E31" s="19">
        <f>SUM(E16:E30)</f>
        <v>4627.0599999999995</v>
      </c>
      <c r="F31" s="36"/>
      <c r="G31" s="19">
        <f>SUM(G16:G30)</f>
        <v>4805.4946</v>
      </c>
      <c r="H31" s="36"/>
      <c r="I31" s="19">
        <f>SUM(I16:I30)</f>
        <v>4991.6596060000002</v>
      </c>
      <c r="J31" s="36"/>
      <c r="K31" s="19">
        <f>SUM(K16:K30)</f>
        <v>5185.92957226</v>
      </c>
      <c r="L31" s="19"/>
      <c r="M31" s="19">
        <f>SUM(M16:M30)</f>
        <v>5388.698848192601</v>
      </c>
      <c r="N31" s="19"/>
      <c r="O31" s="19">
        <f>SUM(O16:O30)</f>
        <v>5600.3826857290669</v>
      </c>
      <c r="P31" s="2"/>
      <c r="Q31" s="19">
        <f>SUM(Q16:Q30)</f>
        <v>5821.4184107170677</v>
      </c>
      <c r="R31" s="2"/>
      <c r="S31" s="19">
        <f>SUM(S16:S30)</f>
        <v>6052.2666621196777</v>
      </c>
      <c r="T31" s="2"/>
      <c r="U31" s="19">
        <f>SUM(U16:U30)</f>
        <v>6293.4127030092313</v>
      </c>
      <c r="V31" s="2"/>
      <c r="W31" s="19">
        <f>SUM(W16:W30)</f>
        <v>6545.3678075870284</v>
      </c>
      <c r="X31" s="2"/>
      <c r="Y31" s="19">
        <f>SUM(Y16:Y30)</f>
        <v>6808.6707287114114</v>
      </c>
      <c r="Z31" s="2"/>
      <c r="AA31" s="19">
        <f>SUM(AA16:AA30)</f>
        <v>7083.8892506833317</v>
      </c>
      <c r="AB31" s="2"/>
      <c r="AC31" s="19">
        <f>SUM(AC16:AC30)</f>
        <v>7371.6218323210451</v>
      </c>
      <c r="AD31" s="2"/>
      <c r="AE31" s="19">
        <f>SUM(AE16:AE30)</f>
        <v>7672.4993456549219</v>
      </c>
      <c r="AF31" s="2"/>
      <c r="AG31" s="19">
        <f>SUM(AG16:AG30)</f>
        <v>7987.1869158906702</v>
      </c>
    </row>
    <row r="32" spans="1:33" ht="14.25" customHeight="1">
      <c r="A32" s="6"/>
      <c r="B32" s="6"/>
      <c r="C32" s="14"/>
      <c r="D32" s="14"/>
      <c r="E32" s="36"/>
      <c r="F32" s="36"/>
      <c r="G32" s="36"/>
      <c r="H32" s="36"/>
      <c r="I32" s="36"/>
      <c r="J32" s="36"/>
      <c r="K32" s="36"/>
      <c r="L32" s="36"/>
      <c r="M32" s="36"/>
      <c r="N32" s="36"/>
      <c r="O32" s="36"/>
      <c r="P32" s="2"/>
      <c r="Q32" s="36"/>
      <c r="R32" s="2"/>
      <c r="S32" s="36"/>
      <c r="T32" s="2"/>
      <c r="U32" s="36"/>
      <c r="V32" s="2"/>
      <c r="W32" s="36"/>
      <c r="X32" s="2"/>
      <c r="Y32" s="36"/>
      <c r="Z32" s="2"/>
      <c r="AA32" s="36"/>
      <c r="AB32" s="2"/>
      <c r="AC32" s="36"/>
      <c r="AD32" s="2"/>
      <c r="AE32" s="36"/>
      <c r="AF32" s="2"/>
      <c r="AG32" s="36"/>
    </row>
    <row r="33" spans="1:33" ht="14.25" customHeight="1">
      <c r="A33" s="4" t="s">
        <v>57</v>
      </c>
      <c r="B33" s="6"/>
      <c r="C33" s="19">
        <f>C13-C31</f>
        <v>18914</v>
      </c>
      <c r="D33" s="14"/>
      <c r="E33" s="19">
        <f>E13-E31</f>
        <v>19911.440000000002</v>
      </c>
      <c r="F33" s="36"/>
      <c r="G33" s="19">
        <f>G13-G31</f>
        <v>20959.930399999997</v>
      </c>
      <c r="H33" s="36"/>
      <c r="I33" s="19">
        <f>I13-I31</f>
        <v>22062.036644</v>
      </c>
      <c r="J33" s="36"/>
      <c r="K33" s="19">
        <f>K13-K31</f>
        <v>23220.451490240001</v>
      </c>
      <c r="L33" s="19"/>
      <c r="M33" s="19">
        <f>M13-M31</f>
        <v>24438.001267432399</v>
      </c>
      <c r="N33" s="19"/>
      <c r="O33" s="19">
        <f>O13-O31</f>
        <v>25717.652435677188</v>
      </c>
      <c r="P33" s="2"/>
      <c r="Q33" s="19">
        <f>Q13-Q31</f>
        <v>27062.518466759502</v>
      </c>
      <c r="R33" s="2"/>
      <c r="S33" s="19">
        <f>S13-S31</f>
        <v>28475.867059230717</v>
      </c>
      <c r="T33" s="2"/>
      <c r="U33" s="19">
        <f>U13-U31</f>
        <v>29961.127704408678</v>
      </c>
      <c r="V33" s="2"/>
      <c r="W33" s="19">
        <f>W13-W31</f>
        <v>31521.899620201788</v>
      </c>
      <c r="X33" s="2"/>
      <c r="Y33" s="19">
        <f>Y13-Y31</f>
        <v>33161.960070466848</v>
      </c>
      <c r="Z33" s="2"/>
      <c r="AA33" s="19">
        <f>AA13-AA31</f>
        <v>34885.273088453847</v>
      </c>
      <c r="AB33" s="2"/>
      <c r="AC33" s="19">
        <f>AC13-AC31</f>
        <v>36695.99862377299</v>
      </c>
      <c r="AD33" s="2"/>
      <c r="AE33" s="19">
        <f>AE13-AE31</f>
        <v>38598.502133243819</v>
      </c>
      <c r="AF33" s="2"/>
      <c r="AG33" s="19">
        <f>AG13-AG31</f>
        <v>40597.364636953011</v>
      </c>
    </row>
    <row r="34" spans="1:33" ht="14.25" customHeight="1">
      <c r="A34" s="2"/>
      <c r="B34" s="2"/>
      <c r="C34" s="36"/>
      <c r="D34" s="36"/>
      <c r="E34" s="36"/>
      <c r="F34" s="36"/>
      <c r="G34" s="36"/>
      <c r="H34" s="36"/>
      <c r="I34" s="36"/>
      <c r="J34" s="36"/>
      <c r="K34" s="36"/>
      <c r="L34" s="36"/>
      <c r="M34" s="36"/>
      <c r="N34" s="36"/>
      <c r="O34" s="36"/>
      <c r="P34" s="2"/>
      <c r="Q34" s="36"/>
      <c r="R34" s="2"/>
      <c r="S34" s="36"/>
      <c r="T34" s="2"/>
      <c r="U34" s="36"/>
      <c r="V34" s="2"/>
      <c r="W34" s="36"/>
      <c r="X34" s="2"/>
      <c r="Y34" s="36"/>
      <c r="Z34" s="2"/>
      <c r="AA34" s="36"/>
      <c r="AB34" s="2"/>
      <c r="AC34" s="36"/>
      <c r="AD34" s="2"/>
      <c r="AE34" s="36"/>
      <c r="AF34" s="2"/>
      <c r="AG34" s="36"/>
    </row>
    <row r="35" spans="1:33" ht="14.25" customHeight="1">
      <c r="A35" s="6" t="s">
        <v>58</v>
      </c>
      <c r="B35" s="2"/>
      <c r="C35" s="14">
        <f>IF(C40&gt;0,PMT(Inputs!B24/12,Inputs!B25*12,Inputs!B19,0)*12,0)</f>
        <v>-12676.030277025595</v>
      </c>
      <c r="D35" s="36"/>
      <c r="E35" s="14">
        <f>IF(C40&gt;0,PMT(Inputs!$B$24/12,Inputs!B25*12,Inputs!$B$19,0)*12,0)</f>
        <v>-12676.030277025595</v>
      </c>
      <c r="F35" s="36"/>
      <c r="G35" s="14">
        <f>IF(E40&gt;0,PMT(Inputs!$B$24/12,Inputs!B25*12,Inputs!$B$19,0)*12,0)</f>
        <v>-12676.030277025595</v>
      </c>
      <c r="H35" s="36"/>
      <c r="I35" s="14">
        <f>IF(G40&gt;0,PMT(Inputs!$B$24/12,Inputs!B25*12,Inputs!$B$19,0)*12,0)</f>
        <v>-12676.030277025595</v>
      </c>
      <c r="J35" s="36"/>
      <c r="K35" s="14">
        <f>IF(I40&gt;0,PMT(Inputs!$B$24/12,Inputs!B25*12,Inputs!$B$19,0)*12,)</f>
        <v>-12676.030277025595</v>
      </c>
      <c r="L35" s="14"/>
      <c r="M35" s="14">
        <f>IF(K40&gt;0,PMT(Inputs!B24/12,Inputs!B25*12,Inputs!B19,0)*12,0)</f>
        <v>-12676.030277025595</v>
      </c>
      <c r="N35" s="14"/>
      <c r="O35" s="14">
        <f>IF(M40&gt;0,PMT(Inputs!B24/12,Inputs!B25*12,Inputs!B19,0)*12,)</f>
        <v>-12676.030277025595</v>
      </c>
      <c r="P35" s="2"/>
      <c r="Q35" s="14">
        <f>IF(O40&gt;0,PMT(Inputs!B24/12,Inputs!B25*12,Inputs!B19,0)*12,)</f>
        <v>-12676.030277025595</v>
      </c>
      <c r="R35" s="2"/>
      <c r="S35" s="14">
        <f>IF(Q40&gt;0,PMT(Inputs!B24/12,Inputs!B25*12,Inputs!B19,0)*12,0)</f>
        <v>-12676.030277025595</v>
      </c>
      <c r="T35" s="2"/>
      <c r="U35" s="14">
        <f>IF(S40&gt;0,PMT(Inputs!B24/12,Inputs!B25*12,Inputs!B19,0)*12,0)</f>
        <v>-12676.030277025595</v>
      </c>
      <c r="V35" s="2"/>
      <c r="W35" s="14">
        <f>IF(U40&gt;0,PMT(Inputs!B24/12,Inputs!B25*12,Inputs!B19,0)*12,0)</f>
        <v>-12676.030277025595</v>
      </c>
      <c r="X35" s="2"/>
      <c r="Y35" s="14">
        <f>IF(W40&gt;0,PMT(Inputs!B24/12,Inputs!B25*12,Inputs!B19,0)*12,0)</f>
        <v>-12676.030277025595</v>
      </c>
      <c r="Z35" s="2"/>
      <c r="AA35" s="14">
        <f>IF(Y40&gt;0,PMT(Inputs!B24/12,Inputs!B25*12,Inputs!B19,0)*12,0)</f>
        <v>-12676.030277025595</v>
      </c>
      <c r="AB35" s="2"/>
      <c r="AC35" s="14">
        <f>IF(AA40&gt;0,PMT(Inputs!B24/12,Inputs!B25*12,Inputs!B19,0)*12,0)</f>
        <v>-12676.030277025595</v>
      </c>
      <c r="AD35" s="2"/>
      <c r="AE35" s="14">
        <f>IF(AC40&gt;0,PMT(Inputs!B24/12,Inputs!B25*12,Inputs!B19,0)*12,0)</f>
        <v>-12676.030277025595</v>
      </c>
      <c r="AF35" s="2"/>
      <c r="AG35" s="14">
        <f>IF(AE40&gt;0,PMT(Inputs!B24/12,Inputs!B25*12,Inputs!B19,0)*12,0)</f>
        <v>-12676.030277025595</v>
      </c>
    </row>
    <row r="36" spans="1:33" ht="14.25" customHeight="1">
      <c r="A36" s="2"/>
      <c r="B36" s="2"/>
      <c r="C36" s="36"/>
      <c r="D36" s="36"/>
      <c r="E36" s="36"/>
      <c r="F36" s="36"/>
      <c r="G36" s="36"/>
      <c r="H36" s="36"/>
      <c r="I36" s="36"/>
      <c r="J36" s="36"/>
      <c r="K36" s="36"/>
      <c r="L36" s="36"/>
      <c r="M36" s="14"/>
      <c r="N36" s="36"/>
      <c r="O36" s="36"/>
      <c r="P36" s="2"/>
      <c r="Q36" s="36"/>
      <c r="R36" s="2"/>
      <c r="S36" s="36"/>
      <c r="T36" s="2"/>
      <c r="U36" s="36"/>
      <c r="V36" s="2"/>
      <c r="W36" s="36"/>
      <c r="X36" s="2"/>
      <c r="Y36" s="36"/>
      <c r="Z36" s="2"/>
      <c r="AA36" s="36"/>
      <c r="AB36" s="2"/>
      <c r="AC36" s="36"/>
      <c r="AD36" s="2"/>
      <c r="AE36" s="36"/>
      <c r="AF36" s="2"/>
      <c r="AG36" s="36"/>
    </row>
    <row r="37" spans="1:33" ht="14.25" customHeight="1">
      <c r="A37" s="1" t="s">
        <v>67</v>
      </c>
      <c r="B37" s="40"/>
      <c r="C37" s="72">
        <f>C33+C35</f>
        <v>6237.9697229744052</v>
      </c>
      <c r="D37" s="36"/>
      <c r="E37" s="72">
        <f>E33+E35</f>
        <v>7235.4097229744075</v>
      </c>
      <c r="F37" s="36"/>
      <c r="G37" s="72">
        <f>G33+G35</f>
        <v>8283.9001229744026</v>
      </c>
      <c r="H37" s="36"/>
      <c r="I37" s="72">
        <f>I33+I35</f>
        <v>9386.006366974405</v>
      </c>
      <c r="J37" s="36"/>
      <c r="K37" s="72">
        <f>K33+K35</f>
        <v>10544.421213214406</v>
      </c>
      <c r="L37" s="73"/>
      <c r="M37" s="72">
        <f>M33+M35</f>
        <v>11761.970990406804</v>
      </c>
      <c r="N37" s="73"/>
      <c r="O37" s="72">
        <f>O33+O35</f>
        <v>13041.622158651593</v>
      </c>
      <c r="P37" s="2"/>
      <c r="Q37" s="72">
        <f>Q33+Q35</f>
        <v>14386.488189733907</v>
      </c>
      <c r="R37" s="2"/>
      <c r="S37" s="72">
        <f>S33+S35</f>
        <v>15799.836782205122</v>
      </c>
      <c r="T37" s="2"/>
      <c r="U37" s="72">
        <f>U33+U35</f>
        <v>17285.097427383083</v>
      </c>
      <c r="V37" s="2"/>
      <c r="W37" s="72">
        <f>W33+W35</f>
        <v>18845.869343176193</v>
      </c>
      <c r="X37" s="2"/>
      <c r="Y37" s="72">
        <f>Y33+Y35</f>
        <v>20485.929793441253</v>
      </c>
      <c r="Z37" s="2"/>
      <c r="AA37" s="72">
        <f>AA33+AA35</f>
        <v>22209.242811428252</v>
      </c>
      <c r="AB37" s="2"/>
      <c r="AC37" s="72">
        <f>AC33+AC35</f>
        <v>24019.968346747395</v>
      </c>
      <c r="AD37" s="2"/>
      <c r="AE37" s="72">
        <f>AE33+AE35</f>
        <v>25922.471856218224</v>
      </c>
      <c r="AF37" s="2"/>
      <c r="AG37" s="72">
        <f>AG33+AG35</f>
        <v>27921.334359927416</v>
      </c>
    </row>
    <row r="38" spans="1:33" ht="14.25" customHeight="1">
      <c r="A38" s="2"/>
      <c r="B38" s="2"/>
      <c r="C38" s="36"/>
      <c r="D38" s="36"/>
      <c r="E38" s="36"/>
      <c r="F38" s="36"/>
      <c r="G38" s="36"/>
      <c r="H38" s="36"/>
      <c r="I38" s="36"/>
      <c r="J38" s="36"/>
      <c r="K38" s="36"/>
      <c r="L38" s="36"/>
      <c r="M38" s="36"/>
      <c r="N38" s="36"/>
      <c r="O38" s="36"/>
      <c r="P38" s="2"/>
      <c r="Q38" s="36"/>
      <c r="R38" s="2"/>
      <c r="S38" s="36"/>
      <c r="T38" s="2"/>
      <c r="U38" s="36"/>
      <c r="V38" s="2"/>
      <c r="W38" s="36"/>
      <c r="X38" s="2"/>
      <c r="Y38" s="36"/>
      <c r="Z38" s="2"/>
      <c r="AA38" s="36"/>
      <c r="AB38" s="2"/>
      <c r="AC38" s="36"/>
      <c r="AD38" s="2"/>
      <c r="AE38" s="36"/>
      <c r="AF38" s="2"/>
      <c r="AG38" s="36"/>
    </row>
    <row r="39" spans="1:33" ht="14.25" customHeight="1">
      <c r="A39" s="2" t="s">
        <v>100</v>
      </c>
      <c r="B39" s="2"/>
      <c r="C39" s="14">
        <f>Inputs!B15*(1+Inputs!B39)</f>
        <v>286200</v>
      </c>
      <c r="D39" s="14"/>
      <c r="E39" s="14">
        <f>C39*(1+Inputs!$B$39)</f>
        <v>303372</v>
      </c>
      <c r="F39" s="14"/>
      <c r="G39" s="14">
        <f>E39*(1+Inputs!$B$39)</f>
        <v>321574.32</v>
      </c>
      <c r="H39" s="14"/>
      <c r="I39" s="14">
        <f>G39*(1+Inputs!$B$39)</f>
        <v>340868.77920000005</v>
      </c>
      <c r="J39" s="14"/>
      <c r="K39" s="14">
        <f>I39*(1+Inputs!$B$39)</f>
        <v>361320.90595200006</v>
      </c>
      <c r="L39" s="14"/>
      <c r="M39" s="14">
        <f>K39*(1+Inputs!$B$39)</f>
        <v>383000.16030912008</v>
      </c>
      <c r="N39" s="14"/>
      <c r="O39" s="14">
        <f>M39*(1+Inputs!$B$39)</f>
        <v>405980.1699276673</v>
      </c>
      <c r="P39" s="2"/>
      <c r="Q39" s="14">
        <f>O39*(1+Inputs!$B$39)</f>
        <v>430338.98012332735</v>
      </c>
      <c r="R39" s="2"/>
      <c r="S39" s="14">
        <f>Q39*(1+Inputs!$B$39)</f>
        <v>456159.31893072702</v>
      </c>
      <c r="T39" s="2"/>
      <c r="U39" s="14">
        <f>S39*(1+Inputs!$B$39)</f>
        <v>483528.87806657067</v>
      </c>
      <c r="V39" s="2"/>
      <c r="W39" s="14">
        <f>U39*(1+Inputs!$B$39)</f>
        <v>512540.61075056496</v>
      </c>
      <c r="X39" s="2"/>
      <c r="Y39" s="14">
        <f>W39*(1+Inputs!$B$39)</f>
        <v>543293.04739559884</v>
      </c>
      <c r="Z39" s="2"/>
      <c r="AA39" s="14">
        <f>Y39*(1+Inputs!$B$39)</f>
        <v>575890.63023933477</v>
      </c>
      <c r="AB39" s="2"/>
      <c r="AC39" s="14">
        <f>AA39*(1+Inputs!$B$39)</f>
        <v>610444.06805369491</v>
      </c>
      <c r="AD39" s="2"/>
      <c r="AE39" s="14">
        <f>AC39*(1+Inputs!$B$39)</f>
        <v>647070.71213691658</v>
      </c>
      <c r="AF39" s="2"/>
      <c r="AG39" s="14">
        <f>AE39*(1+Inputs!$B$39)</f>
        <v>685894.95486513164</v>
      </c>
    </row>
    <row r="40" spans="1:33" ht="14.25" customHeight="1">
      <c r="A40" s="2" t="s">
        <v>101</v>
      </c>
      <c r="B40" s="2"/>
      <c r="C40" s="74">
        <f>IF((Inputs!B19+CUMPRINC(Inputs!$B$24/12,Inputs!B25*12,Inputs!$B$19,1,12,0)-Inputs!B26*12)&gt;0,Inputs!B19+CUMPRINC(Inputs!$B$24/12,Inputs!B25*12,Inputs!$B$19,1,12,0)-Inputs!B26*12,0)</f>
        <v>199375.27409608665</v>
      </c>
      <c r="D40" s="14"/>
      <c r="E40" s="75">
        <f>IF((C40+CUMPRINC(Inputs!$B$24/12,Inputs!B25*12,Inputs!$B$19,13,24,0)-Inputs!B26*12)&gt;0,(C40+CUMPRINC(Inputs!$B$24/12,Inputs!B25*12,Inputs!$B$19,13,24,0)-Inputs!B26*12),0)</f>
        <v>196098.84936943921</v>
      </c>
      <c r="F40" s="14"/>
      <c r="G40" s="74">
        <f>IF((E40+CUMPRINC(Inputs!$B$24/12,Inputs!B25*12,Inputs!$B$19,25,36,0)-Inputs!B26*12)&gt;0,E40+CUMPRINC(Inputs!$B$24/12,Inputs!B25*12,Inputs!$B$19,25,36,0)-Inputs!B26*12,0)</f>
        <v>192663.36116359613</v>
      </c>
      <c r="H40" s="14"/>
      <c r="I40" s="75">
        <f>IF((G40+CUMPRINC(Inputs!$B$24/12,Inputs!B25*12,Inputs!$B$19,37,48,0)-Inputs!B26*12)&gt;0,G40+CUMPRINC(Inputs!$B$24/12,Inputs!B25*12,Inputs!$B$19,37,48,0)-Inputs!B26*12,0)</f>
        <v>189061.08728362704</v>
      </c>
      <c r="J40" s="14"/>
      <c r="K40" s="74">
        <f>IF((I40+CUMPRINC(Inputs!$B$24/12,Inputs!B25*12,Inputs!$B$19,49,60,0)-Inputs!B26*12)&gt;0,I40+CUMPRINC(Inputs!$B$24/12,Inputs!B25*12,Inputs!$B$19,49,60,0)-Inputs!B26*12,0)</f>
        <v>185283.93063839761</v>
      </c>
      <c r="L40" s="14"/>
      <c r="M40" s="81">
        <f>IF((K40+CUMPRINC(Inputs!$B$24/12,Inputs!B25*12,Inputs!$B$19,61,72,0)-Inputs!B26*12)&gt;0,K40+CUMPRINC(Inputs!$B$24/12,Inputs!B25*12,Inputs!$B$19,61,72,0)-Inputs!B26*12,0)</f>
        <v>181323.40104015302</v>
      </c>
      <c r="N40" s="14"/>
      <c r="O40" s="74">
        <f>IF((M40+CUMPRINC(Inputs!$B$24/12,Inputs!B25*12,Inputs!$B$19,73,84,0)-Inputs!B26*12)&gt;0,M40+CUMPRINC(Inputs!$B$24/12,Inputs!B25*12,Inputs!$B$19,73,84,0)-Inputs!B26*12,0)</f>
        <v>177170.59612050996</v>
      </c>
      <c r="P40" s="2"/>
      <c r="Q40" s="75">
        <f>IF((O40+CUMPRINC(Inputs!$B$24/12,Inputs!B25*12,Inputs!$B$19,85,96,0)-Inputs!B26*12)&gt;0,O40+CUMPRINC(Inputs!$B$24/12,Inputs!B25*12,Inputs!$B$19,85,96,0)-Inputs!B26*12,0)</f>
        <v>172816.18131996016</v>
      </c>
      <c r="R40" s="2"/>
      <c r="S40" s="74">
        <f>IF((Q40+CUMPRINC(Inputs!$B$24/12,Inputs!B25*12,Inputs!$B$19,97,108,0)-Inputs!B26*12)&gt;0,Q40+CUMPRINC(Inputs!$B$24/12,Inputs!B25*12,Inputs!$B$19,97,108,0)-Inputs!B26*12,0)</f>
        <v>168250.36890590706</v>
      </c>
      <c r="T40" s="2"/>
      <c r="U40" s="75">
        <f>IF((S40+CUMPRINC(Inputs!$B$24/12,Inputs!B25*12,Inputs!$B$19,109,120,0)-Inputs!B26*12)&gt;0,S40+CUMPRINC(Inputs!$B$24/12,Inputs!B25*12,Inputs!$B$19,109,120,0)-Inputs!B26*12,0)</f>
        <v>163462.89597207235</v>
      </c>
      <c r="V40" s="2"/>
      <c r="W40" s="74">
        <f>IF((U40+CUMPRINC(Inputs!$B$24/12,Inputs!B25*12,Inputs!$B$19,121,132,0)-Inputs!B26*12)&gt;0,U40+CUMPRINC(Inputs!$B$24/12,Inputs!B25*12,Inputs!$B$19,121,132,0)-Inputs!B26*12,0)</f>
        <v>158443.00136982044</v>
      </c>
      <c r="X40" s="2"/>
      <c r="Y40" s="75">
        <f>IF((W40+CUMPRINC(Inputs!$B$24/12,Inputs!B25*12,Inputs!$B$19,133,144,0)-Inputs!B26*12)&gt;0,W40+CUMPRINC(Inputs!$B$24/12,Inputs!B25*12,Inputs!$B$19,133,144,0)-Inputs!B26*12,0)</f>
        <v>153179.40151954757</v>
      </c>
      <c r="Z40" s="2"/>
      <c r="AA40" s="74">
        <f>IF((Y40+CUMPRINC(Inputs!$B$24/12,Inputs!B25*12,Inputs!$B$19,145,156,0)-Inputs!B26*12)&gt;0,Y40+CUMPRINC(Inputs!$B$24/12,Inputs!B25*12,Inputs!$B$19,145,156,0)-Inputs!B26*12,0)</f>
        <v>147660.26504776505</v>
      </c>
      <c r="AB40" s="2"/>
      <c r="AC40" s="75">
        <f>IF((AA40+CUMPRINC(Inputs!$B$24/12,Inputs!B25*12,Inputs!$B$19,158,169,0)-Inputs!B26*12)&gt;0,AA40+CUMPRINC(Inputs!$B$24/12,Inputs!B25*12,Inputs!$B$19,158,169,0)-Inputs!B26*12,0)</f>
        <v>141850.27900573279</v>
      </c>
      <c r="AD40" s="2"/>
      <c r="AE40" s="74">
        <f>IF((AC40+CUMPRINC(Inputs!$B$24/12,Inputs!B25*12,Inputs!$B$19,169,180,0)-Inputs!B26*12)&gt;0,AC40+CUMPRINC(Inputs!$B$24/12,Inputs!B25*12,Inputs!$B$19,169,180,0)-Inputs!B26*12,0)</f>
        <v>135782.24973266892</v>
      </c>
      <c r="AF40" s="2"/>
      <c r="AG40" s="74">
        <f>IF((AE40+CUMPRINC(Inputs!$B$24/12,Inputs!B25*12,Inputs!$B$19,169,180,0)-Inputs!B26*12)&gt;0,AE40+CUMPRINC(Inputs!$B$24/12,Inputs!B25*12,Inputs!$B$19,169,180,0)-Inputs!B26*12,0)</f>
        <v>129714.22045960504</v>
      </c>
    </row>
    <row r="41" spans="1:33" ht="14.25" customHeight="1">
      <c r="A41" s="2" t="s">
        <v>102</v>
      </c>
      <c r="B41" s="2"/>
      <c r="C41" s="77">
        <f>C39-C40</f>
        <v>86824.72590391335</v>
      </c>
      <c r="D41" s="14"/>
      <c r="E41" s="77">
        <f>E39-E40</f>
        <v>107273.15063056079</v>
      </c>
      <c r="F41" s="14"/>
      <c r="G41" s="77">
        <f>G39-G40</f>
        <v>128910.95883640388</v>
      </c>
      <c r="H41" s="14"/>
      <c r="I41" s="77">
        <f>I39-I40</f>
        <v>151807.69191637301</v>
      </c>
      <c r="J41" s="14"/>
      <c r="K41" s="77">
        <f>K39-K40</f>
        <v>176036.97531360245</v>
      </c>
      <c r="L41" s="14"/>
      <c r="M41" s="77">
        <f>M39-M40</f>
        <v>201676.75926896706</v>
      </c>
      <c r="N41" s="14"/>
      <c r="O41" s="77">
        <f>O39-O40</f>
        <v>228809.57380715734</v>
      </c>
      <c r="P41" s="2"/>
      <c r="Q41" s="77">
        <f>Q39-Q40</f>
        <v>257522.79880336719</v>
      </c>
      <c r="R41" s="2"/>
      <c r="S41" s="77">
        <f>S39-S40</f>
        <v>287908.95002481993</v>
      </c>
      <c r="T41" s="2"/>
      <c r="U41" s="77">
        <f>U39-U40</f>
        <v>320065.98209449835</v>
      </c>
      <c r="V41" s="2"/>
      <c r="W41" s="77">
        <f>W39-W40</f>
        <v>354097.60938074451</v>
      </c>
      <c r="X41" s="2"/>
      <c r="Y41" s="77">
        <f>Y39-Y40</f>
        <v>390113.64587605128</v>
      </c>
      <c r="Z41" s="2"/>
      <c r="AA41" s="77">
        <f>AA39-AA40</f>
        <v>428230.36519156973</v>
      </c>
      <c r="AB41" s="2"/>
      <c r="AC41" s="77">
        <f>AC39-AC40</f>
        <v>468593.78904796211</v>
      </c>
      <c r="AD41" s="2"/>
      <c r="AE41" s="77">
        <f>AE39-AE40</f>
        <v>511288.46240424766</v>
      </c>
      <c r="AF41" s="2"/>
      <c r="AG41" s="77">
        <f>AG39-AG40</f>
        <v>556180.73440552666</v>
      </c>
    </row>
    <row r="42" spans="1:33" ht="14.25" customHeight="1">
      <c r="A42" s="27" t="s">
        <v>103</v>
      </c>
      <c r="B42" s="2"/>
      <c r="C42" s="78">
        <f>C41+C37</f>
        <v>93062.695626887755</v>
      </c>
      <c r="D42" s="14"/>
      <c r="E42" s="78">
        <f>E41+E37</f>
        <v>114508.5603535352</v>
      </c>
      <c r="F42" s="14"/>
      <c r="G42" s="78">
        <f>G41+G37</f>
        <v>137194.85895937827</v>
      </c>
      <c r="H42" s="14"/>
      <c r="I42" s="78">
        <f>I41+I37</f>
        <v>161193.69828334742</v>
      </c>
      <c r="J42" s="14"/>
      <c r="K42" s="78">
        <f>K41+K37</f>
        <v>186581.39652681685</v>
      </c>
      <c r="L42" s="73"/>
      <c r="M42" s="78">
        <f>M41+M37</f>
        <v>213438.73025937387</v>
      </c>
      <c r="N42" s="73"/>
      <c r="O42" s="78">
        <f>O41+O37</f>
        <v>241851.19596580893</v>
      </c>
      <c r="P42" s="2"/>
      <c r="Q42" s="78">
        <f>Q41+Q37</f>
        <v>271909.28699310112</v>
      </c>
      <c r="R42" s="2"/>
      <c r="S42" s="78">
        <f>S41+S37</f>
        <v>303708.78680702508</v>
      </c>
      <c r="T42" s="2"/>
      <c r="U42" s="78">
        <f>U41+U37</f>
        <v>337351.07952188142</v>
      </c>
      <c r="V42" s="2"/>
      <c r="W42" s="78">
        <f>W41+W37</f>
        <v>372943.47872392071</v>
      </c>
      <c r="X42" s="2"/>
      <c r="Y42" s="78">
        <f>Y41+Y37</f>
        <v>410599.57566949254</v>
      </c>
      <c r="Z42" s="2"/>
      <c r="AA42" s="78">
        <f>AA41+AA37</f>
        <v>450439.60800299799</v>
      </c>
      <c r="AB42" s="2"/>
      <c r="AC42" s="78">
        <f>AC41+AC37</f>
        <v>492613.75739470951</v>
      </c>
      <c r="AD42" s="2"/>
      <c r="AE42" s="78">
        <f>AE41+AE37</f>
        <v>537210.9342604659</v>
      </c>
      <c r="AF42" s="2"/>
      <c r="AG42" s="78">
        <f>AG41+AG37</f>
        <v>584102.06876545411</v>
      </c>
    </row>
    <row r="43" spans="1:33" ht="14.25" hidden="1" customHeight="1">
      <c r="A43" s="27" t="s">
        <v>104</v>
      </c>
      <c r="B43" s="2"/>
      <c r="C43" s="14">
        <f>$I$7</f>
        <v>71895</v>
      </c>
      <c r="D43" s="14"/>
      <c r="E43" s="14">
        <f>$I$7</f>
        <v>71895</v>
      </c>
      <c r="F43" s="14"/>
      <c r="G43" s="14">
        <f>$I$7</f>
        <v>71895</v>
      </c>
      <c r="H43" s="14"/>
      <c r="I43" s="14">
        <f>$I$7</f>
        <v>71895</v>
      </c>
      <c r="J43" s="14"/>
      <c r="K43" s="14">
        <f>$I$7</f>
        <v>71895</v>
      </c>
      <c r="L43" s="14"/>
      <c r="M43" s="14">
        <f>$I$7</f>
        <v>71895</v>
      </c>
      <c r="N43" s="14"/>
      <c r="O43" s="14">
        <f>$I$7</f>
        <v>71895</v>
      </c>
      <c r="P43" s="2"/>
      <c r="Q43" s="14">
        <f>$I$7</f>
        <v>71895</v>
      </c>
      <c r="R43" s="2"/>
      <c r="S43" s="14">
        <f>$I$7</f>
        <v>71895</v>
      </c>
      <c r="T43" s="2"/>
      <c r="U43" s="14">
        <f>$I$7</f>
        <v>71895</v>
      </c>
      <c r="V43" s="2"/>
      <c r="W43" s="14">
        <f>$I$7</f>
        <v>71895</v>
      </c>
      <c r="X43" s="2"/>
      <c r="Y43" s="14">
        <f>$I$7</f>
        <v>71895</v>
      </c>
      <c r="Z43" s="2"/>
      <c r="AA43" s="14">
        <f>$I$7</f>
        <v>71895</v>
      </c>
      <c r="AB43" s="2"/>
      <c r="AC43" s="14">
        <f>$I$7</f>
        <v>71895</v>
      </c>
      <c r="AD43" s="2"/>
      <c r="AE43" s="14">
        <f>$I$7</f>
        <v>71895</v>
      </c>
      <c r="AF43" s="2"/>
      <c r="AG43" s="14">
        <f>$I$7</f>
        <v>71895</v>
      </c>
    </row>
    <row r="44" spans="1:33" ht="14.25" customHeight="1">
      <c r="A44" s="27" t="s">
        <v>105</v>
      </c>
      <c r="B44" s="2"/>
      <c r="C44" s="79">
        <f>(C41-C43+C37)/I7</f>
        <v>0.29442514259528135</v>
      </c>
      <c r="D44" s="14"/>
      <c r="E44" s="79">
        <f>(E41-C41+E37)/$I$7</f>
        <v>0.38505924542209957</v>
      </c>
      <c r="F44" s="14"/>
      <c r="G44" s="79">
        <f>(G41-E41+G37)/$I$7</f>
        <v>0.41618622058303761</v>
      </c>
      <c r="H44" s="14"/>
      <c r="I44" s="79">
        <f>(I41-G41+I37)/$I$7</f>
        <v>0.4490262110987347</v>
      </c>
      <c r="J44" s="14"/>
      <c r="K44" s="79">
        <f>(K41-I41+K37)/$I$7</f>
        <v>0.48367347674308153</v>
      </c>
      <c r="L44" s="79"/>
      <c r="M44" s="79">
        <f>(M41-K41+M37)/$I$7</f>
        <v>0.52022748377176997</v>
      </c>
      <c r="N44" s="79"/>
      <c r="O44" s="79">
        <f>(O41-M41+O37)/$I$7</f>
        <v>0.55879319419767548</v>
      </c>
      <c r="P44" s="2"/>
      <c r="Q44" s="79">
        <f>(Q41-O41+Q37)/$I$7</f>
        <v>0.59948137124895684</v>
      </c>
      <c r="R44" s="2"/>
      <c r="S44" s="79">
        <f>(S41-Q41+S37)/$I$7</f>
        <v>0.64240890192166167</v>
      </c>
      <c r="T44" s="2"/>
      <c r="U44" s="79">
        <f>(U41-S41+U37)/$I$7</f>
        <v>0.68769913759039569</v>
      </c>
      <c r="V44" s="2"/>
      <c r="W44" s="79">
        <f>(W41-U41+W37)/$I$7</f>
        <v>0.73548225369528275</v>
      </c>
      <c r="X44" s="2"/>
      <c r="Y44" s="79">
        <f>(Y41-W41+Y37)/$I$7</f>
        <v>0.78589562958130632</v>
      </c>
      <c r="Z44" s="2"/>
      <c r="AA44" s="79">
        <f>(AA41-Y41+AA37)/$I$7</f>
        <v>0.83908424962718831</v>
      </c>
      <c r="AB44" s="2"/>
      <c r="AC44" s="79">
        <f>(AC41-AA41+AC37)/$I$7</f>
        <v>0.89551974689672131</v>
      </c>
      <c r="AD44" s="2"/>
      <c r="AE44" s="79">
        <f>(AE41-AC41+AE37)/$I$7</f>
        <v>0.95440775036516834</v>
      </c>
      <c r="AF44" s="2"/>
      <c r="AG44" s="79">
        <f>(AG41-AE41+AG37)/$I$7</f>
        <v>1.0127770548884683</v>
      </c>
    </row>
    <row r="45" spans="1:33" ht="14.25" customHeight="1">
      <c r="A45" s="2"/>
      <c r="B45" s="2"/>
      <c r="C45" s="80"/>
      <c r="D45" s="14"/>
      <c r="E45" s="80"/>
      <c r="F45" s="14"/>
      <c r="G45" s="80"/>
      <c r="H45" s="14"/>
      <c r="I45" s="80"/>
      <c r="J45" s="14"/>
      <c r="K45" s="80"/>
      <c r="L45" s="80"/>
      <c r="M45" s="80"/>
      <c r="N45" s="80"/>
      <c r="O45" s="80"/>
      <c r="P45" s="2"/>
      <c r="Q45" s="80"/>
      <c r="R45" s="2"/>
      <c r="S45" s="80"/>
      <c r="T45" s="2"/>
      <c r="U45" s="80"/>
      <c r="V45" s="2"/>
      <c r="W45" s="80"/>
      <c r="X45" s="2"/>
      <c r="Y45" s="80"/>
      <c r="Z45" s="2"/>
      <c r="AA45" s="80"/>
      <c r="AB45" s="2"/>
      <c r="AC45" s="80"/>
      <c r="AD45" s="2"/>
      <c r="AE45" s="80"/>
      <c r="AF45" s="2"/>
      <c r="AG45" s="80"/>
    </row>
    <row r="46" spans="1:33" ht="14.25" customHeight="1">
      <c r="A46" s="27" t="s">
        <v>106</v>
      </c>
      <c r="B46" s="2"/>
      <c r="C46" s="82">
        <f>C37</f>
        <v>6237.9697229744052</v>
      </c>
      <c r="D46" s="83"/>
      <c r="E46" s="82">
        <f>E37+C46</f>
        <v>13473.379445948813</v>
      </c>
      <c r="F46" s="83"/>
      <c r="G46" s="82">
        <f>G37+E46</f>
        <v>21757.279568923215</v>
      </c>
      <c r="H46" s="83"/>
      <c r="I46" s="82">
        <f>I37+G46</f>
        <v>31143.28593589762</v>
      </c>
      <c r="J46" s="83"/>
      <c r="K46" s="82">
        <f>K37+I46</f>
        <v>41687.70714911203</v>
      </c>
      <c r="L46" s="83"/>
      <c r="M46" s="82">
        <f>M37+K46</f>
        <v>53449.67813951883</v>
      </c>
      <c r="N46" s="83"/>
      <c r="O46" s="82">
        <f>O37+M46</f>
        <v>66491.300298170419</v>
      </c>
      <c r="P46" s="2"/>
      <c r="Q46" s="82">
        <f>Q37+O46</f>
        <v>80877.788487904327</v>
      </c>
      <c r="R46" s="2"/>
      <c r="S46" s="82">
        <f>S37+Q46</f>
        <v>96677.625270109449</v>
      </c>
      <c r="T46" s="2"/>
      <c r="U46" s="82">
        <f>U37+S46</f>
        <v>113962.72269749253</v>
      </c>
      <c r="V46" s="2"/>
      <c r="W46" s="82">
        <f>W37+U46</f>
        <v>132808.59204066871</v>
      </c>
      <c r="X46" s="2"/>
      <c r="Y46" s="82">
        <f>Y37+W46</f>
        <v>153294.52183410997</v>
      </c>
      <c r="Z46" s="2"/>
      <c r="AA46" s="82">
        <f>AA37+Y46</f>
        <v>175503.76464553823</v>
      </c>
      <c r="AB46" s="2"/>
      <c r="AC46" s="82">
        <f>AC37+AA46</f>
        <v>199523.73299228563</v>
      </c>
      <c r="AD46" s="2"/>
      <c r="AE46" s="82">
        <f>AE37+AC46</f>
        <v>225446.20484850387</v>
      </c>
      <c r="AF46" s="2"/>
      <c r="AG46" s="82">
        <f>AG37+AE46</f>
        <v>253367.53920843129</v>
      </c>
    </row>
    <row r="47" spans="1:33" ht="14.25" customHeight="1">
      <c r="A47" s="27" t="s">
        <v>107</v>
      </c>
      <c r="B47" s="2"/>
      <c r="C47" s="84">
        <f>C46/$I$7</f>
        <v>8.6765000667284306E-2</v>
      </c>
      <c r="D47" s="85"/>
      <c r="E47" s="84">
        <f>E46/$I$7</f>
        <v>0.18740356695109275</v>
      </c>
      <c r="F47" s="85"/>
      <c r="G47" s="84">
        <f>G46/$I$7</f>
        <v>0.30262576770183203</v>
      </c>
      <c r="H47" s="85"/>
      <c r="I47" s="84">
        <f>I46/$I$7</f>
        <v>0.43317735497458265</v>
      </c>
      <c r="J47" s="85"/>
      <c r="K47" s="84">
        <f>K46/$I$7</f>
        <v>0.57984153486490064</v>
      </c>
      <c r="L47" s="84"/>
      <c r="M47" s="84">
        <f>M46/$I$7</f>
        <v>0.74344082536363909</v>
      </c>
      <c r="N47" s="84"/>
      <c r="O47" s="84">
        <f>O46/$I$7</f>
        <v>0.92483900546867537</v>
      </c>
      <c r="P47" s="2"/>
      <c r="Q47" s="84">
        <f>Q46/$I$7</f>
        <v>1.1249431599958875</v>
      </c>
      <c r="R47" s="2"/>
      <c r="S47" s="84">
        <f>S46/$I$7</f>
        <v>1.3447058247459414</v>
      </c>
      <c r="T47" s="2"/>
      <c r="U47" s="84">
        <f>U46/$I$7</f>
        <v>1.5851272369078868</v>
      </c>
      <c r="V47" s="2"/>
      <c r="W47" s="84">
        <f>W46/$I$7</f>
        <v>1.8472576958156854</v>
      </c>
      <c r="X47" s="2"/>
      <c r="Y47" s="84">
        <f>Y46/$I$7</f>
        <v>2.1322000394201259</v>
      </c>
      <c r="Z47" s="2"/>
      <c r="AA47" s="84">
        <f>AA46/$I$7</f>
        <v>2.441112242096644</v>
      </c>
      <c r="AB47" s="2"/>
      <c r="AC47" s="84">
        <f>AC46/$I$7</f>
        <v>2.7752101396798889</v>
      </c>
      <c r="AD47" s="2"/>
      <c r="AE47" s="84">
        <f>AE46/$I$7</f>
        <v>3.1357702878990734</v>
      </c>
      <c r="AF47" s="2"/>
      <c r="AG47" s="84">
        <f>AG46/$I$7</f>
        <v>3.5241329606847667</v>
      </c>
    </row>
    <row r="48" spans="1:33" ht="14.25" customHeight="1">
      <c r="A48" s="2"/>
      <c r="B48" s="2"/>
      <c r="C48" s="84"/>
      <c r="D48" s="85"/>
      <c r="E48" s="84"/>
      <c r="F48" s="85"/>
      <c r="G48" s="84"/>
      <c r="H48" s="85"/>
      <c r="I48" s="84"/>
      <c r="J48" s="85"/>
      <c r="K48" s="84"/>
      <c r="L48" s="84"/>
      <c r="M48" s="84"/>
      <c r="N48" s="84"/>
      <c r="O48" s="84"/>
      <c r="P48" s="2"/>
      <c r="Q48" s="84"/>
      <c r="R48" s="2"/>
      <c r="S48" s="84"/>
      <c r="T48" s="2"/>
      <c r="U48" s="84"/>
      <c r="V48" s="2"/>
      <c r="W48" s="84"/>
      <c r="X48" s="2"/>
      <c r="Y48" s="84"/>
      <c r="Z48" s="2"/>
      <c r="AA48" s="84"/>
      <c r="AB48" s="2"/>
      <c r="AC48" s="84"/>
      <c r="AD48" s="2"/>
      <c r="AE48" s="84"/>
      <c r="AF48" s="2"/>
      <c r="AG48" s="84"/>
    </row>
    <row r="49" spans="1:33" ht="14.25" customHeight="1">
      <c r="A49" s="27" t="s">
        <v>108</v>
      </c>
      <c r="B49" s="2"/>
      <c r="C49" s="82">
        <f>C41-C43+C37</f>
        <v>21167.695626887755</v>
      </c>
      <c r="D49" s="85"/>
      <c r="E49" s="82">
        <f>E41-E43+E37+C37</f>
        <v>48851.530076509604</v>
      </c>
      <c r="F49" s="83"/>
      <c r="G49" s="82">
        <f>G41-G43+G37+E37+C37</f>
        <v>78773.238405327094</v>
      </c>
      <c r="H49" s="83"/>
      <c r="I49" s="82">
        <f>I41-I43+I37+G37+E37+C37</f>
        <v>111055.97785227063</v>
      </c>
      <c r="J49" s="83"/>
      <c r="K49" s="82">
        <f>K41-K43+K37+I37+G37+E37+C37</f>
        <v>145829.6824627145</v>
      </c>
      <c r="L49" s="83"/>
      <c r="M49" s="82">
        <f>M41-M43+M37+K37+I37+G37+E37</f>
        <v>176993.46768551151</v>
      </c>
      <c r="N49" s="83"/>
      <c r="O49" s="82">
        <f>O41-O43+O37+M37+K37+I37+G37</f>
        <v>209932.49465937895</v>
      </c>
      <c r="P49" s="2"/>
      <c r="Q49" s="82">
        <f>Q41-Q43+Q37+O37+M37+K37+I37</f>
        <v>244748.30772234831</v>
      </c>
      <c r="R49" s="2"/>
      <c r="S49" s="82">
        <f>S41-S43+S37+Q37+O37+M37+K37</f>
        <v>281548.28935903177</v>
      </c>
      <c r="T49" s="2"/>
      <c r="U49" s="82">
        <f>U41-U43+U37+S37+Q37+O37+M37</f>
        <v>320445.99764287891</v>
      </c>
      <c r="V49" s="2"/>
      <c r="W49" s="82">
        <f>W41-W43+W37+U37+S37+Q37+O37</f>
        <v>361561.52328189439</v>
      </c>
      <c r="X49" s="2"/>
      <c r="Y49" s="82">
        <f>Y41-Y43+Y37+W37+U37+S37+Q37</f>
        <v>405021.86741199088</v>
      </c>
      <c r="Z49" s="2"/>
      <c r="AA49" s="82">
        <f>AA41-AA43+AA37+Y37+W37+U37+S37</f>
        <v>450961.34134920361</v>
      </c>
      <c r="AB49" s="2"/>
      <c r="AC49" s="82">
        <f>AC41-AC43+AC37+AA37+Y37+W37+U37</f>
        <v>499544.89677013829</v>
      </c>
      <c r="AD49" s="2"/>
      <c r="AE49" s="82">
        <f>AE41-AE43+AE37+AC37+AA37+Y37+W37</f>
        <v>550876.94455525908</v>
      </c>
      <c r="AF49" s="2"/>
      <c r="AG49" s="82">
        <f>AG41-AG43+AG37+AE37+AC37+AA37+Y37</f>
        <v>604844.6815732891</v>
      </c>
    </row>
    <row r="50" spans="1:33" ht="14.25" customHeight="1">
      <c r="A50" s="27" t="s">
        <v>109</v>
      </c>
      <c r="B50" s="2"/>
      <c r="C50" s="84">
        <f>C49/$I$7</f>
        <v>0.29442514259528135</v>
      </c>
      <c r="D50" s="85"/>
      <c r="E50" s="84">
        <f>E49/$I$7</f>
        <v>0.67948438801738098</v>
      </c>
      <c r="F50" s="85"/>
      <c r="G50" s="84">
        <f>G49/$I$7</f>
        <v>1.0956706086004186</v>
      </c>
      <c r="H50" s="85"/>
      <c r="I50" s="84">
        <f>I49/$I$7</f>
        <v>1.5446968196991533</v>
      </c>
      <c r="J50" s="85"/>
      <c r="K50" s="84">
        <f>K49/$I$7</f>
        <v>2.028370296442235</v>
      </c>
      <c r="L50" s="84"/>
      <c r="M50" s="84">
        <f>M49/$I$7</f>
        <v>2.4618327795467212</v>
      </c>
      <c r="N50" s="84"/>
      <c r="O50" s="84">
        <f>O49/$I$7</f>
        <v>2.9199874074605878</v>
      </c>
      <c r="P50" s="2"/>
      <c r="Q50" s="84">
        <f>Q49/$I$7</f>
        <v>3.4042465779588054</v>
      </c>
      <c r="R50" s="2"/>
      <c r="S50" s="84">
        <f>S49/$I$7</f>
        <v>3.9161038926077163</v>
      </c>
      <c r="T50" s="2"/>
      <c r="U50" s="84">
        <f>U49/$I$7</f>
        <v>4.4571388503077944</v>
      </c>
      <c r="V50" s="2"/>
      <c r="W50" s="84">
        <f>W49/$I$7</f>
        <v>5.0290218135043379</v>
      </c>
      <c r="X50" s="2"/>
      <c r="Y50" s="84">
        <f>Y49/$I$7</f>
        <v>5.6335192629806086</v>
      </c>
      <c r="Z50" s="2"/>
      <c r="AA50" s="84">
        <f>AA49/$I$7</f>
        <v>6.2724993580805846</v>
      </c>
      <c r="AB50" s="2"/>
      <c r="AC50" s="84">
        <f>AC49/$I$7</f>
        <v>6.9482564402272518</v>
      </c>
      <c r="AD50" s="2"/>
      <c r="AE50" s="84">
        <f>AE49/$I$7</f>
        <v>7.6622427784304756</v>
      </c>
      <c r="AF50" s="2"/>
      <c r="AG50" s="84">
        <f>AG49/$I$7</f>
        <v>8.4128893744111419</v>
      </c>
    </row>
    <row r="51" spans="1:33" ht="14.25" customHeight="1">
      <c r="A51" s="2"/>
      <c r="B51" s="2"/>
      <c r="C51" s="86"/>
      <c r="D51" s="36"/>
      <c r="E51" s="86"/>
      <c r="F51" s="36"/>
      <c r="G51" s="86"/>
      <c r="H51" s="36"/>
      <c r="I51" s="86"/>
      <c r="J51" s="36"/>
      <c r="K51" s="86"/>
      <c r="L51" s="86"/>
      <c r="M51" s="86"/>
      <c r="N51" s="86"/>
      <c r="O51" s="86"/>
      <c r="P51" s="2"/>
      <c r="Q51" s="86"/>
      <c r="R51" s="2"/>
      <c r="S51" s="86"/>
      <c r="T51" s="2"/>
      <c r="U51" s="86"/>
      <c r="V51" s="2"/>
      <c r="W51" s="86"/>
      <c r="X51" s="2"/>
      <c r="Y51" s="86"/>
      <c r="Z51" s="2"/>
      <c r="AA51" s="86"/>
      <c r="AB51" s="2"/>
      <c r="AC51" s="86"/>
      <c r="AD51" s="2"/>
      <c r="AE51" s="86"/>
      <c r="AF51" s="2"/>
      <c r="AG51" s="86"/>
    </row>
    <row r="52" spans="1:33" ht="15.75" customHeight="1">
      <c r="A52" s="2"/>
      <c r="B52" s="88"/>
      <c r="C52" s="87"/>
      <c r="D52" s="88"/>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ht="19.5" customHeight="1">
      <c r="A53" s="131"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18"/>
      <c r="C53" s="118"/>
      <c r="D53" s="118"/>
      <c r="E53" s="118"/>
      <c r="F53" s="118"/>
      <c r="G53" s="118"/>
      <c r="H53" s="118"/>
      <c r="I53" s="118"/>
      <c r="J53" s="118"/>
      <c r="K53" s="118"/>
      <c r="L53" s="89"/>
      <c r="M53" s="2"/>
      <c r="N53" s="2"/>
      <c r="O53" s="2"/>
      <c r="P53" s="2"/>
      <c r="Q53" s="2"/>
      <c r="R53" s="2"/>
      <c r="S53" s="2"/>
      <c r="T53" s="2"/>
      <c r="U53" s="2"/>
      <c r="V53" s="2"/>
      <c r="W53" s="2"/>
      <c r="X53" s="2"/>
      <c r="Y53" s="2"/>
      <c r="Z53" s="2"/>
      <c r="AA53" s="2"/>
      <c r="AB53" s="2"/>
      <c r="AC53" s="2"/>
      <c r="AD53" s="2"/>
      <c r="AE53" s="2"/>
      <c r="AF53" s="2"/>
      <c r="AG53" s="2"/>
    </row>
    <row r="54" spans="1:33" ht="14.25" customHeight="1">
      <c r="A54" s="119"/>
      <c r="B54" s="120"/>
      <c r="C54" s="120"/>
      <c r="D54" s="120"/>
      <c r="E54" s="120"/>
      <c r="F54" s="120"/>
      <c r="G54" s="120"/>
      <c r="H54" s="120"/>
      <c r="I54" s="120"/>
      <c r="J54" s="120"/>
      <c r="K54" s="120"/>
      <c r="L54" s="89"/>
      <c r="M54" s="2"/>
      <c r="N54" s="2"/>
      <c r="O54" s="2"/>
      <c r="P54" s="2"/>
      <c r="Q54" s="2"/>
      <c r="R54" s="2"/>
      <c r="S54" s="2"/>
      <c r="T54" s="2"/>
      <c r="U54" s="2"/>
      <c r="V54" s="2"/>
      <c r="W54" s="2"/>
      <c r="X54" s="2"/>
      <c r="Y54" s="2"/>
      <c r="Z54" s="2"/>
      <c r="AA54" s="2"/>
      <c r="AB54" s="2"/>
      <c r="AC54" s="2"/>
      <c r="AD54" s="2"/>
      <c r="AE54" s="2"/>
      <c r="AF54" s="2"/>
      <c r="AG54" s="2"/>
    </row>
    <row r="55" spans="1:33" ht="14.25" customHeight="1">
      <c r="A55" s="119"/>
      <c r="B55" s="120"/>
      <c r="C55" s="120"/>
      <c r="D55" s="120"/>
      <c r="E55" s="120"/>
      <c r="F55" s="120"/>
      <c r="G55" s="120"/>
      <c r="H55" s="120"/>
      <c r="I55" s="120"/>
      <c r="J55" s="120"/>
      <c r="K55" s="120"/>
      <c r="L55" s="89"/>
      <c r="M55" s="2"/>
      <c r="N55" s="2"/>
      <c r="O55" s="2"/>
      <c r="P55" s="2"/>
      <c r="Q55" s="2"/>
      <c r="R55" s="2"/>
      <c r="S55" s="2"/>
      <c r="T55" s="2"/>
      <c r="U55" s="2"/>
      <c r="V55" s="2"/>
      <c r="W55" s="2"/>
      <c r="X55" s="2"/>
      <c r="Y55" s="2"/>
      <c r="Z55" s="2"/>
      <c r="AA55" s="2"/>
      <c r="AB55" s="2"/>
      <c r="AC55" s="2"/>
      <c r="AD55" s="2"/>
      <c r="AE55" s="2"/>
      <c r="AF55" s="2"/>
      <c r="AG55" s="2"/>
    </row>
    <row r="56" spans="1:33" ht="14.25" customHeight="1">
      <c r="A56" s="90"/>
      <c r="B56" s="90"/>
      <c r="C56" s="90"/>
      <c r="D56" s="90"/>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row>
    <row r="57" spans="1:33" ht="14.25" customHeight="1">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row>
  </sheetData>
  <mergeCells count="1">
    <mergeCell ref="A53:K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workbookViewId="0"/>
  </sheetViews>
  <sheetFormatPr defaultColWidth="14.44140625" defaultRowHeight="15" customHeight="1"/>
  <cols>
    <col min="1" max="1" width="18" customWidth="1"/>
    <col min="2" max="2" width="19.88671875" customWidth="1"/>
    <col min="3" max="3" width="16.109375" customWidth="1"/>
    <col min="4" max="4" width="6" customWidth="1"/>
    <col min="5" max="5" width="12.88671875" customWidth="1"/>
    <col min="6" max="6" width="6" customWidth="1"/>
    <col min="7" max="7" width="13.44140625" customWidth="1"/>
    <col min="8" max="8" width="6" customWidth="1"/>
    <col min="9" max="9" width="13.6640625" customWidth="1"/>
    <col min="10" max="10" width="6" customWidth="1"/>
    <col min="11" max="11" width="15.6640625" customWidth="1"/>
    <col min="12" max="12" width="6" customWidth="1"/>
    <col min="13" max="13" width="15.6640625" customWidth="1"/>
    <col min="14" max="14" width="6" customWidth="1"/>
    <col min="15" max="15" width="15.6640625" customWidth="1"/>
    <col min="16" max="16" width="6" customWidth="1"/>
    <col min="17" max="17" width="15.6640625" customWidth="1"/>
    <col min="18" max="18" width="6" customWidth="1"/>
    <col min="19" max="19" width="15.6640625" customWidth="1"/>
    <col min="20" max="20" width="6" customWidth="1"/>
    <col min="21" max="21" width="15.6640625" customWidth="1"/>
    <col min="22" max="22" width="6" customWidth="1"/>
    <col min="23" max="23" width="15.6640625" customWidth="1"/>
    <col min="24" max="24" width="6" customWidth="1"/>
    <col min="25" max="25" width="15.6640625" customWidth="1"/>
    <col min="26" max="26" width="6" customWidth="1"/>
    <col min="27" max="27" width="15.6640625" customWidth="1"/>
    <col min="28" max="28" width="6" customWidth="1"/>
    <col min="29" max="29" width="15.6640625" customWidth="1"/>
    <col min="30" max="30" width="6" customWidth="1"/>
    <col min="31" max="31" width="15.6640625" customWidth="1"/>
    <col min="32" max="32" width="6" customWidth="1"/>
    <col min="33" max="33" width="15.6640625" customWidth="1"/>
  </cols>
  <sheetData>
    <row r="1" spans="1:33" ht="14.25" customHeight="1">
      <c r="A1" s="1" t="s">
        <v>0</v>
      </c>
      <c r="B1" s="2"/>
      <c r="C1" s="1" t="str">
        <f>Inputs!B10</f>
        <v>9428 E. Lehigh Ave.</v>
      </c>
      <c r="D1" s="2"/>
      <c r="E1" s="1" t="s">
        <v>2</v>
      </c>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4.25" customHeight="1">
      <c r="A2" s="2"/>
      <c r="B2" s="2"/>
      <c r="C2" s="2"/>
      <c r="D2" s="2"/>
      <c r="E2" s="6" t="s">
        <v>3</v>
      </c>
      <c r="F2" s="2"/>
      <c r="G2" s="6"/>
      <c r="H2" s="2"/>
      <c r="I2" s="10">
        <f>Inputs!B15</f>
        <v>270000</v>
      </c>
      <c r="J2" s="2"/>
      <c r="K2" s="2"/>
      <c r="L2" s="2"/>
      <c r="M2" s="2"/>
      <c r="N2" s="2"/>
      <c r="O2" s="2"/>
      <c r="P2" s="2"/>
      <c r="Q2" s="2"/>
      <c r="R2" s="2"/>
      <c r="S2" s="2"/>
      <c r="T2" s="2"/>
      <c r="U2" s="2"/>
      <c r="V2" s="2"/>
      <c r="W2" s="2"/>
      <c r="X2" s="2"/>
      <c r="Y2" s="2"/>
      <c r="Z2" s="2"/>
      <c r="AA2" s="2"/>
      <c r="AB2" s="2"/>
      <c r="AC2" s="2"/>
      <c r="AD2" s="2"/>
      <c r="AE2" s="2"/>
      <c r="AF2" s="2"/>
      <c r="AG2" s="2"/>
    </row>
    <row r="3" spans="1:33" ht="14.25" customHeight="1">
      <c r="A3" s="4" t="s">
        <v>1</v>
      </c>
      <c r="B3" s="2"/>
      <c r="C3" s="5">
        <f>Inputs!B11</f>
        <v>1</v>
      </c>
      <c r="D3" s="2"/>
      <c r="E3" s="6" t="s">
        <v>5</v>
      </c>
      <c r="F3" s="2"/>
      <c r="G3" s="6"/>
      <c r="H3" s="2"/>
      <c r="I3" s="11">
        <f>Inputs!B19</f>
        <v>202500</v>
      </c>
      <c r="J3" s="2"/>
      <c r="K3" s="2"/>
      <c r="L3" s="2"/>
      <c r="M3" s="2"/>
      <c r="N3" s="2"/>
      <c r="O3" s="2"/>
      <c r="P3" s="2"/>
      <c r="Q3" s="2"/>
      <c r="R3" s="2"/>
      <c r="S3" s="2"/>
      <c r="T3" s="2"/>
      <c r="U3" s="2"/>
      <c r="V3" s="2"/>
      <c r="W3" s="2"/>
      <c r="X3" s="2"/>
      <c r="Y3" s="2"/>
      <c r="Z3" s="2"/>
      <c r="AA3" s="2"/>
      <c r="AB3" s="2"/>
      <c r="AC3" s="2"/>
      <c r="AD3" s="2"/>
      <c r="AE3" s="2"/>
      <c r="AF3" s="2"/>
      <c r="AG3" s="2"/>
    </row>
    <row r="4" spans="1:33" ht="14.25" customHeight="1">
      <c r="A4" s="2"/>
      <c r="B4" s="2"/>
      <c r="C4" s="2"/>
      <c r="D4" s="2"/>
      <c r="E4" s="6" t="s">
        <v>6</v>
      </c>
      <c r="F4" s="2"/>
      <c r="G4" s="6"/>
      <c r="H4" s="2"/>
      <c r="I4" s="10">
        <f>Inputs!B18</f>
        <v>67500</v>
      </c>
      <c r="J4" s="2"/>
      <c r="K4" s="2"/>
      <c r="L4" s="2"/>
      <c r="M4" s="2"/>
      <c r="N4" s="2"/>
      <c r="O4" s="2"/>
      <c r="P4" s="2"/>
      <c r="Q4" s="2"/>
      <c r="R4" s="2"/>
      <c r="S4" s="2"/>
      <c r="T4" s="2"/>
      <c r="U4" s="2"/>
      <c r="V4" s="2"/>
      <c r="W4" s="2"/>
      <c r="X4" s="2"/>
      <c r="Y4" s="2"/>
      <c r="Z4" s="2"/>
      <c r="AA4" s="2"/>
      <c r="AB4" s="2"/>
      <c r="AC4" s="2"/>
      <c r="AD4" s="2"/>
      <c r="AE4" s="2"/>
      <c r="AF4" s="2"/>
      <c r="AG4" s="2"/>
    </row>
    <row r="5" spans="1:33" ht="14.25" customHeight="1">
      <c r="A5" s="2"/>
      <c r="B5" s="2"/>
      <c r="C5" s="2"/>
      <c r="D5" s="2"/>
      <c r="E5" s="6" t="s">
        <v>7</v>
      </c>
      <c r="F5" s="2"/>
      <c r="G5" s="6"/>
      <c r="H5" s="2"/>
      <c r="I5" s="10">
        <f>Inputs!B16+Inputs!B17</f>
        <v>3395</v>
      </c>
      <c r="J5" s="2"/>
      <c r="K5" s="2"/>
      <c r="L5" s="2"/>
      <c r="M5" s="2"/>
      <c r="N5" s="2"/>
      <c r="O5" s="2"/>
      <c r="P5" s="2"/>
      <c r="Q5" s="2"/>
      <c r="R5" s="2"/>
      <c r="S5" s="2"/>
      <c r="T5" s="2"/>
      <c r="U5" s="2"/>
      <c r="V5" s="2"/>
      <c r="W5" s="2"/>
      <c r="X5" s="2"/>
      <c r="Y5" s="2"/>
      <c r="Z5" s="2"/>
      <c r="AA5" s="2"/>
      <c r="AB5" s="2"/>
      <c r="AC5" s="2"/>
      <c r="AD5" s="2"/>
      <c r="AE5" s="2"/>
      <c r="AF5" s="2"/>
      <c r="AG5" s="2"/>
    </row>
    <row r="6" spans="1:33" ht="14.25" customHeight="1">
      <c r="A6" s="2"/>
      <c r="B6" s="2"/>
      <c r="C6" s="2"/>
      <c r="D6" s="2"/>
      <c r="E6" s="6" t="s">
        <v>8</v>
      </c>
      <c r="F6" s="2"/>
      <c r="G6" s="6"/>
      <c r="H6" s="2"/>
      <c r="I6" s="11">
        <f>Inputs!B21</f>
        <v>1000</v>
      </c>
      <c r="J6" s="2"/>
      <c r="K6" s="2"/>
      <c r="L6" s="2"/>
      <c r="M6" s="2"/>
      <c r="N6" s="2"/>
      <c r="O6" s="2"/>
      <c r="P6" s="2"/>
      <c r="Q6" s="2"/>
      <c r="R6" s="2"/>
      <c r="S6" s="2"/>
      <c r="T6" s="2"/>
      <c r="U6" s="2"/>
      <c r="V6" s="2"/>
      <c r="W6" s="2"/>
      <c r="X6" s="2"/>
      <c r="Y6" s="2"/>
      <c r="Z6" s="2"/>
      <c r="AA6" s="2"/>
      <c r="AB6" s="2"/>
      <c r="AC6" s="2"/>
      <c r="AD6" s="2"/>
      <c r="AE6" s="2"/>
      <c r="AF6" s="2"/>
      <c r="AG6" s="2"/>
    </row>
    <row r="7" spans="1:33" ht="14.25" customHeight="1">
      <c r="A7" s="2"/>
      <c r="B7" s="2"/>
      <c r="C7" s="2"/>
      <c r="D7" s="2"/>
      <c r="E7" s="1" t="s">
        <v>9</v>
      </c>
      <c r="F7" s="2"/>
      <c r="G7" s="1"/>
      <c r="H7" s="2"/>
      <c r="I7" s="12">
        <f>Inputs!B22</f>
        <v>71895</v>
      </c>
      <c r="J7" s="2"/>
      <c r="K7" s="2"/>
      <c r="L7" s="2"/>
      <c r="M7" s="2"/>
      <c r="N7" s="2"/>
      <c r="O7" s="2"/>
      <c r="P7" s="2"/>
      <c r="Q7" s="2"/>
      <c r="R7" s="2"/>
      <c r="S7" s="2"/>
      <c r="T7" s="2"/>
      <c r="U7" s="2"/>
      <c r="V7" s="2"/>
      <c r="W7" s="2"/>
      <c r="X7" s="2"/>
      <c r="Y7" s="2"/>
      <c r="Z7" s="2"/>
      <c r="AA7" s="2"/>
      <c r="AB7" s="2"/>
      <c r="AC7" s="2"/>
      <c r="AD7" s="2"/>
      <c r="AE7" s="2"/>
      <c r="AF7" s="2"/>
      <c r="AG7" s="2"/>
    </row>
    <row r="8" spans="1:33" ht="14.25" customHeight="1">
      <c r="A8" s="1" t="s">
        <v>10</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row>
    <row r="9" spans="1:33" ht="14.2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3" ht="14.25" customHeight="1">
      <c r="A10" s="13" t="s">
        <v>11</v>
      </c>
      <c r="B10" s="6"/>
      <c r="C10" s="6" t="s">
        <v>21</v>
      </c>
      <c r="D10" s="6"/>
      <c r="E10" s="2" t="s">
        <v>22</v>
      </c>
      <c r="F10" s="2"/>
      <c r="G10" s="2" t="s">
        <v>23</v>
      </c>
      <c r="H10" s="2"/>
      <c r="I10" s="2" t="s">
        <v>24</v>
      </c>
      <c r="J10" s="2"/>
      <c r="K10" s="2" t="s">
        <v>25</v>
      </c>
      <c r="L10" s="2"/>
      <c r="M10" s="2" t="s">
        <v>26</v>
      </c>
      <c r="N10" s="2"/>
      <c r="O10" s="2" t="s">
        <v>28</v>
      </c>
      <c r="P10" s="2"/>
      <c r="Q10" s="2" t="s">
        <v>29</v>
      </c>
      <c r="R10" s="2"/>
      <c r="S10" s="2" t="s">
        <v>30</v>
      </c>
      <c r="T10" s="2"/>
      <c r="U10" s="2" t="s">
        <v>31</v>
      </c>
      <c r="V10" s="2"/>
      <c r="W10" s="2" t="s">
        <v>32</v>
      </c>
      <c r="X10" s="2"/>
      <c r="Y10" s="2" t="s">
        <v>33</v>
      </c>
      <c r="Z10" s="2"/>
      <c r="AA10" s="2" t="s">
        <v>34</v>
      </c>
      <c r="AB10" s="2"/>
      <c r="AC10" s="2" t="s">
        <v>35</v>
      </c>
      <c r="AD10" s="2"/>
      <c r="AE10" s="2" t="s">
        <v>36</v>
      </c>
      <c r="AF10" s="2"/>
      <c r="AG10" s="2" t="s">
        <v>37</v>
      </c>
    </row>
    <row r="11" spans="1:33" ht="14.25" customHeight="1">
      <c r="A11" s="6" t="s">
        <v>12</v>
      </c>
      <c r="B11" s="6"/>
      <c r="C11" s="14">
        <f>Inputs!B33*12</f>
        <v>24600</v>
      </c>
      <c r="D11" s="14"/>
      <c r="E11" s="36">
        <f>C11*(1+Inputs!$B$37)</f>
        <v>25830</v>
      </c>
      <c r="F11" s="36"/>
      <c r="G11" s="36">
        <f>E11*(1+Inputs!$B$37)</f>
        <v>27121.5</v>
      </c>
      <c r="H11" s="36"/>
      <c r="I11" s="36">
        <f>G11*(1+Inputs!$B$37)</f>
        <v>28477.575000000001</v>
      </c>
      <c r="J11" s="36"/>
      <c r="K11" s="36">
        <f>I11*(1+Inputs!$B$37)</f>
        <v>29901.453750000001</v>
      </c>
      <c r="L11" s="36"/>
      <c r="M11" s="36">
        <f>K11*(1+Inputs!$B$37)</f>
        <v>31396.526437500001</v>
      </c>
      <c r="N11" s="36"/>
      <c r="O11" s="36">
        <f>M11*(1+Inputs!$B$37)</f>
        <v>32966.352759375004</v>
      </c>
      <c r="P11" s="2"/>
      <c r="Q11" s="36">
        <f>O11*(1+Inputs!$B$37)</f>
        <v>34614.670397343754</v>
      </c>
      <c r="R11" s="2"/>
      <c r="S11" s="36">
        <f>Q11*(1+Inputs!$B$37)</f>
        <v>36345.403917210941</v>
      </c>
      <c r="T11" s="2"/>
      <c r="U11" s="36">
        <f>S11*(1+Inputs!$B$37)</f>
        <v>38162.674113071487</v>
      </c>
      <c r="V11" s="2"/>
      <c r="W11" s="36">
        <f>U11*(1+Inputs!$B$37)</f>
        <v>40070.807818725065</v>
      </c>
      <c r="X11" s="2"/>
      <c r="Y11" s="36">
        <f>W11*(1+Inputs!$B$37)</f>
        <v>42074.348209661322</v>
      </c>
      <c r="Z11" s="2"/>
      <c r="AA11" s="36">
        <f>Y11*(1+Inputs!$B$37)</f>
        <v>44178.065620144393</v>
      </c>
      <c r="AB11" s="2"/>
      <c r="AC11" s="36">
        <f>AA11*(1+Inputs!$B$37)</f>
        <v>46386.968901151617</v>
      </c>
      <c r="AD11" s="2"/>
      <c r="AE11" s="36">
        <f>AC11*(1+Inputs!$B$37)</f>
        <v>48706.317346209202</v>
      </c>
      <c r="AF11" s="2"/>
      <c r="AG11" s="36">
        <f>AE11*(1+Inputs!$B$37)</f>
        <v>51141.633213519664</v>
      </c>
    </row>
    <row r="12" spans="1:33" ht="14.25" customHeight="1">
      <c r="A12" s="6" t="s">
        <v>14</v>
      </c>
      <c r="B12" s="17">
        <f>Inputs!B35</f>
        <v>0.05</v>
      </c>
      <c r="C12" s="18">
        <f>-C11*Inputs!B35</f>
        <v>-1230</v>
      </c>
      <c r="D12" s="14"/>
      <c r="E12" s="46">
        <f>-E11*Inputs!$B$35</f>
        <v>-1291.5</v>
      </c>
      <c r="F12" s="36"/>
      <c r="G12" s="46">
        <f>-G11*Inputs!$B$35</f>
        <v>-1356.075</v>
      </c>
      <c r="H12" s="36"/>
      <c r="I12" s="46">
        <f>-I11*Inputs!$B$35</f>
        <v>-1423.8787500000001</v>
      </c>
      <c r="J12" s="36"/>
      <c r="K12" s="46">
        <f>-K11*Inputs!$B$35</f>
        <v>-1495.0726875</v>
      </c>
      <c r="L12" s="36"/>
      <c r="M12" s="46">
        <f>-M11*Inputs!$B$35</f>
        <v>-1569.8263218750001</v>
      </c>
      <c r="N12" s="36"/>
      <c r="O12" s="46">
        <f>-O11*Inputs!$B$35</f>
        <v>-1648.3176379687502</v>
      </c>
      <c r="P12" s="2"/>
      <c r="Q12" s="46">
        <f>-Q11*Inputs!$B$35</f>
        <v>-1730.7335198671879</v>
      </c>
      <c r="R12" s="2"/>
      <c r="S12" s="46">
        <f>-S11*Inputs!$B$35</f>
        <v>-1817.2701958605471</v>
      </c>
      <c r="T12" s="2"/>
      <c r="U12" s="46">
        <f>-U11*Inputs!$B$35</f>
        <v>-1908.1337056535745</v>
      </c>
      <c r="V12" s="2"/>
      <c r="W12" s="46">
        <f>-W11*Inputs!$B$35</f>
        <v>-2003.5403909362533</v>
      </c>
      <c r="X12" s="2"/>
      <c r="Y12" s="46">
        <f>-Y11*Inputs!$B$35</f>
        <v>-2103.717410483066</v>
      </c>
      <c r="Z12" s="2"/>
      <c r="AA12" s="46">
        <f>-AA11*Inputs!$B$35</f>
        <v>-2208.9032810072199</v>
      </c>
      <c r="AB12" s="2"/>
      <c r="AC12" s="46">
        <f>-AC11*Inputs!$B$35</f>
        <v>-2319.3484450575811</v>
      </c>
      <c r="AD12" s="2"/>
      <c r="AE12" s="46">
        <f>-AE11*Inputs!$B$35</f>
        <v>-2435.3158673104604</v>
      </c>
      <c r="AF12" s="2"/>
      <c r="AG12" s="46">
        <f>-AG11*Inputs!$B$35</f>
        <v>-2557.0816606759836</v>
      </c>
    </row>
    <row r="13" spans="1:33" ht="14.25" customHeight="1">
      <c r="A13" s="4" t="s">
        <v>15</v>
      </c>
      <c r="B13" s="4"/>
      <c r="C13" s="19">
        <f>SUM(C11:C12)</f>
        <v>23370</v>
      </c>
      <c r="D13" s="14"/>
      <c r="E13" s="19">
        <f>SUM(E11:E12)</f>
        <v>24538.5</v>
      </c>
      <c r="F13" s="36"/>
      <c r="G13" s="19">
        <f>SUM(G11:G12)</f>
        <v>25765.424999999999</v>
      </c>
      <c r="H13" s="36"/>
      <c r="I13" s="19">
        <f>SUM(I11:I12)</f>
        <v>27053.696250000001</v>
      </c>
      <c r="J13" s="36"/>
      <c r="K13" s="19">
        <f>SUM(K11:K12)</f>
        <v>28406.381062500001</v>
      </c>
      <c r="L13" s="19"/>
      <c r="M13" s="19">
        <f>SUM(M11:M12)</f>
        <v>29826.700115625001</v>
      </c>
      <c r="N13" s="19"/>
      <c r="O13" s="19">
        <f>SUM(O11:O12)</f>
        <v>31318.035121406254</v>
      </c>
      <c r="P13" s="2"/>
      <c r="Q13" s="19">
        <f>SUM(Q11:Q12)</f>
        <v>32883.936877476568</v>
      </c>
      <c r="R13" s="2"/>
      <c r="S13" s="19">
        <f>SUM(S11:S12)</f>
        <v>34528.133721350394</v>
      </c>
      <c r="T13" s="2"/>
      <c r="U13" s="19">
        <f>SUM(U11:U12)</f>
        <v>36254.54040741791</v>
      </c>
      <c r="V13" s="2"/>
      <c r="W13" s="19">
        <f>SUM(W11:W12)</f>
        <v>38067.267427788815</v>
      </c>
      <c r="X13" s="2"/>
      <c r="Y13" s="19">
        <f>SUM(Y11:Y12)</f>
        <v>39970.63079917826</v>
      </c>
      <c r="Z13" s="2"/>
      <c r="AA13" s="19">
        <f>SUM(AA11:AA12)</f>
        <v>41969.162339137176</v>
      </c>
      <c r="AB13" s="2"/>
      <c r="AC13" s="19">
        <f>SUM(AC11:AC12)</f>
        <v>44067.620456094039</v>
      </c>
      <c r="AD13" s="2"/>
      <c r="AE13" s="19">
        <f>SUM(AE11:AE12)</f>
        <v>46271.001478898739</v>
      </c>
      <c r="AF13" s="2"/>
      <c r="AG13" s="19">
        <f>SUM(AG11:AG12)</f>
        <v>48584.551552843681</v>
      </c>
    </row>
    <row r="14" spans="1:33" ht="14.25" customHeight="1">
      <c r="A14" s="6"/>
      <c r="B14" s="6"/>
      <c r="C14" s="14"/>
      <c r="D14" s="6"/>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14.25" customHeight="1">
      <c r="A15" s="13" t="s">
        <v>16</v>
      </c>
      <c r="B15" s="6"/>
      <c r="C15" s="14"/>
      <c r="D15" s="6"/>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14.25" customHeight="1">
      <c r="A16" s="6" t="s">
        <v>18</v>
      </c>
      <c r="B16" s="6"/>
      <c r="C16" s="14">
        <f>Inputs!B42</f>
        <v>1246</v>
      </c>
      <c r="D16" s="14"/>
      <c r="E16" s="36">
        <f>C16*(1+Inputs!$B$39)</f>
        <v>1320.76</v>
      </c>
      <c r="F16" s="36"/>
      <c r="G16" s="36">
        <f>E16*(1+Inputs!$B$39)</f>
        <v>1400.0056</v>
      </c>
      <c r="H16" s="36"/>
      <c r="I16" s="36">
        <f>G16*(1+Inputs!$B$39)</f>
        <v>1484.005936</v>
      </c>
      <c r="J16" s="36"/>
      <c r="K16" s="36">
        <f>I16*(1+Inputs!$B$39)</f>
        <v>1573.0462921600001</v>
      </c>
      <c r="L16" s="36"/>
      <c r="M16" s="36">
        <f>K16*(1+Inputs!$B$39)</f>
        <v>1667.4290696896003</v>
      </c>
      <c r="N16" s="36"/>
      <c r="O16" s="36">
        <f>M16*(1+Inputs!$B$39)</f>
        <v>1767.4748138709763</v>
      </c>
      <c r="P16" s="2"/>
      <c r="Q16" s="36">
        <f>O16*(1+Inputs!$B$39)</f>
        <v>1873.523302703235</v>
      </c>
      <c r="R16" s="2"/>
      <c r="S16" s="36">
        <f>Q16*(1+Inputs!$B$39)</f>
        <v>1985.9347008654292</v>
      </c>
      <c r="T16" s="2"/>
      <c r="U16" s="36">
        <f>S16*(1+Inputs!$B$39)</f>
        <v>2105.0907829173552</v>
      </c>
      <c r="V16" s="2"/>
      <c r="W16" s="36">
        <f>U16*(1+Inputs!$B$39)</f>
        <v>2231.3962298923966</v>
      </c>
      <c r="X16" s="2"/>
      <c r="Y16" s="36">
        <f>W16*(1+Inputs!$B$39)</f>
        <v>2365.2800036859403</v>
      </c>
      <c r="Z16" s="2"/>
      <c r="AA16" s="36">
        <f>Y16*(1+Inputs!$B$39)</f>
        <v>2507.1968039070966</v>
      </c>
      <c r="AB16" s="2"/>
      <c r="AC16" s="36">
        <f>AA16*(1+Inputs!$B$39)</f>
        <v>2657.6286121415224</v>
      </c>
      <c r="AD16" s="2"/>
      <c r="AE16" s="36">
        <f>AC16*(1+Inputs!$B$39)</f>
        <v>2817.0863288700139</v>
      </c>
      <c r="AF16" s="2"/>
      <c r="AG16" s="36">
        <f>AE16*(1+Inputs!$B$39)</f>
        <v>2986.1115086022151</v>
      </c>
    </row>
    <row r="17" spans="1:33" ht="14.25" customHeight="1">
      <c r="A17" s="6" t="s">
        <v>27</v>
      </c>
      <c r="B17" s="6"/>
      <c r="C17" s="14">
        <f>Inputs!B43</f>
        <v>300</v>
      </c>
      <c r="D17" s="14"/>
      <c r="E17" s="36">
        <f t="shared" ref="E17:E30" si="0">C17*(1.03)</f>
        <v>309</v>
      </c>
      <c r="F17" s="36"/>
      <c r="G17" s="36">
        <f t="shared" ref="G17:G30" si="1">E17*(1.03)</f>
        <v>318.27</v>
      </c>
      <c r="H17" s="36"/>
      <c r="I17" s="36">
        <f t="shared" ref="I17:I30" si="2">G17*(1.03)</f>
        <v>327.81810000000002</v>
      </c>
      <c r="J17" s="36"/>
      <c r="K17" s="36">
        <f t="shared" ref="K17:K30" si="3">I17*(1.03)</f>
        <v>337.65264300000001</v>
      </c>
      <c r="L17" s="36"/>
      <c r="M17" s="36">
        <f t="shared" ref="M17:M30" si="4">K17*(1.03)</f>
        <v>347.78222228999999</v>
      </c>
      <c r="N17" s="36"/>
      <c r="O17" s="36">
        <f t="shared" ref="O17:O30" si="5">M17*(1.03)</f>
        <v>358.21568895870001</v>
      </c>
      <c r="P17" s="2"/>
      <c r="Q17" s="36">
        <f t="shared" ref="Q17:Q30" si="6">O17*(1.03)</f>
        <v>368.96215962746101</v>
      </c>
      <c r="R17" s="2"/>
      <c r="S17" s="36">
        <f t="shared" ref="S17:S30" si="7">Q17*(1.03)</f>
        <v>380.03102441628482</v>
      </c>
      <c r="T17" s="2"/>
      <c r="U17" s="36">
        <f t="shared" ref="U17:U30" si="8">S17*(1.03)</f>
        <v>391.4319551487734</v>
      </c>
      <c r="V17" s="2"/>
      <c r="W17" s="36">
        <f t="shared" ref="W17:W30" si="9">U17*(1.03)</f>
        <v>403.17491380323662</v>
      </c>
      <c r="X17" s="2"/>
      <c r="Y17" s="36">
        <f t="shared" ref="Y17:Y30" si="10">W17*(1.03)</f>
        <v>415.27016121733374</v>
      </c>
      <c r="Z17" s="2"/>
      <c r="AA17" s="36">
        <f t="shared" ref="AA17:AA30" si="11">Y17*(1.03)</f>
        <v>427.72826605385376</v>
      </c>
      <c r="AB17" s="2"/>
      <c r="AC17" s="36">
        <f t="shared" ref="AC17:AC30" si="12">AA17*(1.03)</f>
        <v>440.56011403546938</v>
      </c>
      <c r="AD17" s="2"/>
      <c r="AE17" s="36">
        <f t="shared" ref="AE17:AE30" si="13">AC17*(1.03)</f>
        <v>453.77691745653345</v>
      </c>
      <c r="AF17" s="2"/>
      <c r="AG17" s="36">
        <f t="shared" ref="AG17:AG30" si="14">AE17*(1.03)</f>
        <v>467.39022498022945</v>
      </c>
    </row>
    <row r="18" spans="1:33" ht="14.25" customHeight="1">
      <c r="A18" s="6" t="s">
        <v>38</v>
      </c>
      <c r="B18" s="6"/>
      <c r="C18" s="14">
        <f>Inputs!B44</f>
        <v>0</v>
      </c>
      <c r="D18" s="14"/>
      <c r="E18" s="36">
        <f t="shared" si="0"/>
        <v>0</v>
      </c>
      <c r="F18" s="36"/>
      <c r="G18" s="36">
        <f t="shared" si="1"/>
        <v>0</v>
      </c>
      <c r="H18" s="36"/>
      <c r="I18" s="36">
        <f t="shared" si="2"/>
        <v>0</v>
      </c>
      <c r="J18" s="36"/>
      <c r="K18" s="36">
        <f t="shared" si="3"/>
        <v>0</v>
      </c>
      <c r="L18" s="36"/>
      <c r="M18" s="36">
        <f t="shared" si="4"/>
        <v>0</v>
      </c>
      <c r="N18" s="36"/>
      <c r="O18" s="36">
        <f t="shared" si="5"/>
        <v>0</v>
      </c>
      <c r="P18" s="2"/>
      <c r="Q18" s="36">
        <f t="shared" si="6"/>
        <v>0</v>
      </c>
      <c r="R18" s="2"/>
      <c r="S18" s="36">
        <f t="shared" si="7"/>
        <v>0</v>
      </c>
      <c r="T18" s="2"/>
      <c r="U18" s="36">
        <f t="shared" si="8"/>
        <v>0</v>
      </c>
      <c r="V18" s="2"/>
      <c r="W18" s="36">
        <f t="shared" si="9"/>
        <v>0</v>
      </c>
      <c r="X18" s="2"/>
      <c r="Y18" s="36">
        <f t="shared" si="10"/>
        <v>0</v>
      </c>
      <c r="Z18" s="2"/>
      <c r="AA18" s="36">
        <f t="shared" si="11"/>
        <v>0</v>
      </c>
      <c r="AB18" s="2"/>
      <c r="AC18" s="36">
        <f t="shared" si="12"/>
        <v>0</v>
      </c>
      <c r="AD18" s="2"/>
      <c r="AE18" s="36">
        <f t="shared" si="13"/>
        <v>0</v>
      </c>
      <c r="AF18" s="2"/>
      <c r="AG18" s="36">
        <f t="shared" si="14"/>
        <v>0</v>
      </c>
    </row>
    <row r="19" spans="1:33" ht="14.25" customHeight="1">
      <c r="A19" s="6" t="s">
        <v>39</v>
      </c>
      <c r="B19" s="6"/>
      <c r="C19" s="14">
        <f>Inputs!B45</f>
        <v>1230</v>
      </c>
      <c r="D19" s="14"/>
      <c r="E19" s="36">
        <f t="shared" si="0"/>
        <v>1266.9000000000001</v>
      </c>
      <c r="F19" s="36"/>
      <c r="G19" s="36">
        <f t="shared" si="1"/>
        <v>1304.9070000000002</v>
      </c>
      <c r="H19" s="36"/>
      <c r="I19" s="36">
        <f t="shared" si="2"/>
        <v>1344.0542100000002</v>
      </c>
      <c r="J19" s="36"/>
      <c r="K19" s="36">
        <f t="shared" si="3"/>
        <v>1384.3758363000002</v>
      </c>
      <c r="L19" s="36"/>
      <c r="M19" s="36">
        <f t="shared" si="4"/>
        <v>1425.9071113890002</v>
      </c>
      <c r="N19" s="36"/>
      <c r="O19" s="36">
        <f t="shared" si="5"/>
        <v>1468.6843247306701</v>
      </c>
      <c r="P19" s="2"/>
      <c r="Q19" s="36">
        <f t="shared" si="6"/>
        <v>1512.7448544725903</v>
      </c>
      <c r="R19" s="2"/>
      <c r="S19" s="36">
        <f t="shared" si="7"/>
        <v>1558.127200106768</v>
      </c>
      <c r="T19" s="2"/>
      <c r="U19" s="36">
        <f t="shared" si="8"/>
        <v>1604.8710161099712</v>
      </c>
      <c r="V19" s="2"/>
      <c r="W19" s="36">
        <f t="shared" si="9"/>
        <v>1653.0171465932704</v>
      </c>
      <c r="X19" s="2"/>
      <c r="Y19" s="36">
        <f t="shared" si="10"/>
        <v>1702.6076609910685</v>
      </c>
      <c r="Z19" s="2"/>
      <c r="AA19" s="36">
        <f t="shared" si="11"/>
        <v>1753.6858908208008</v>
      </c>
      <c r="AB19" s="2"/>
      <c r="AC19" s="36">
        <f t="shared" si="12"/>
        <v>1806.2964675454248</v>
      </c>
      <c r="AD19" s="2"/>
      <c r="AE19" s="36">
        <f t="shared" si="13"/>
        <v>1860.4853615717875</v>
      </c>
      <c r="AF19" s="2"/>
      <c r="AG19" s="36">
        <f t="shared" si="14"/>
        <v>1916.2999224189412</v>
      </c>
    </row>
    <row r="20" spans="1:33" ht="14.25" customHeight="1">
      <c r="A20" s="6" t="s">
        <v>41</v>
      </c>
      <c r="B20" s="6"/>
      <c r="C20" s="14">
        <f>Inputs!B46</f>
        <v>0</v>
      </c>
      <c r="D20" s="14"/>
      <c r="E20" s="36">
        <f t="shared" si="0"/>
        <v>0</v>
      </c>
      <c r="F20" s="36"/>
      <c r="G20" s="36">
        <f t="shared" si="1"/>
        <v>0</v>
      </c>
      <c r="H20" s="36"/>
      <c r="I20" s="36">
        <f t="shared" si="2"/>
        <v>0</v>
      </c>
      <c r="J20" s="36"/>
      <c r="K20" s="36">
        <f t="shared" si="3"/>
        <v>0</v>
      </c>
      <c r="L20" s="36"/>
      <c r="M20" s="36">
        <f t="shared" si="4"/>
        <v>0</v>
      </c>
      <c r="N20" s="36"/>
      <c r="O20" s="36">
        <f t="shared" si="5"/>
        <v>0</v>
      </c>
      <c r="P20" s="2"/>
      <c r="Q20" s="36">
        <f t="shared" si="6"/>
        <v>0</v>
      </c>
      <c r="R20" s="2"/>
      <c r="S20" s="36">
        <f t="shared" si="7"/>
        <v>0</v>
      </c>
      <c r="T20" s="2"/>
      <c r="U20" s="36">
        <f t="shared" si="8"/>
        <v>0</v>
      </c>
      <c r="V20" s="2"/>
      <c r="W20" s="36">
        <f t="shared" si="9"/>
        <v>0</v>
      </c>
      <c r="X20" s="2"/>
      <c r="Y20" s="36">
        <f t="shared" si="10"/>
        <v>0</v>
      </c>
      <c r="Z20" s="2"/>
      <c r="AA20" s="36">
        <f t="shared" si="11"/>
        <v>0</v>
      </c>
      <c r="AB20" s="2"/>
      <c r="AC20" s="36">
        <f t="shared" si="12"/>
        <v>0</v>
      </c>
      <c r="AD20" s="2"/>
      <c r="AE20" s="36">
        <f t="shared" si="13"/>
        <v>0</v>
      </c>
      <c r="AF20" s="2"/>
      <c r="AG20" s="36">
        <f t="shared" si="14"/>
        <v>0</v>
      </c>
    </row>
    <row r="21" spans="1:33" ht="14.25" customHeight="1">
      <c r="A21" s="6" t="s">
        <v>42</v>
      </c>
      <c r="B21" s="6"/>
      <c r="C21" s="14">
        <f>Inputs!B47</f>
        <v>0</v>
      </c>
      <c r="D21" s="14"/>
      <c r="E21" s="36">
        <f t="shared" si="0"/>
        <v>0</v>
      </c>
      <c r="F21" s="36"/>
      <c r="G21" s="36">
        <f t="shared" si="1"/>
        <v>0</v>
      </c>
      <c r="H21" s="36"/>
      <c r="I21" s="36">
        <f t="shared" si="2"/>
        <v>0</v>
      </c>
      <c r="J21" s="36"/>
      <c r="K21" s="36">
        <f t="shared" si="3"/>
        <v>0</v>
      </c>
      <c r="L21" s="36"/>
      <c r="M21" s="36">
        <f t="shared" si="4"/>
        <v>0</v>
      </c>
      <c r="N21" s="36"/>
      <c r="O21" s="36">
        <f t="shared" si="5"/>
        <v>0</v>
      </c>
      <c r="P21" s="2"/>
      <c r="Q21" s="36">
        <f t="shared" si="6"/>
        <v>0</v>
      </c>
      <c r="R21" s="2"/>
      <c r="S21" s="36">
        <f t="shared" si="7"/>
        <v>0</v>
      </c>
      <c r="T21" s="2"/>
      <c r="U21" s="36">
        <f t="shared" si="8"/>
        <v>0</v>
      </c>
      <c r="V21" s="2"/>
      <c r="W21" s="36">
        <f t="shared" si="9"/>
        <v>0</v>
      </c>
      <c r="X21" s="2"/>
      <c r="Y21" s="36">
        <f t="shared" si="10"/>
        <v>0</v>
      </c>
      <c r="Z21" s="2"/>
      <c r="AA21" s="36">
        <f t="shared" si="11"/>
        <v>0</v>
      </c>
      <c r="AB21" s="2"/>
      <c r="AC21" s="36">
        <f t="shared" si="12"/>
        <v>0</v>
      </c>
      <c r="AD21" s="2"/>
      <c r="AE21" s="36">
        <f t="shared" si="13"/>
        <v>0</v>
      </c>
      <c r="AF21" s="2"/>
      <c r="AG21" s="36">
        <f t="shared" si="14"/>
        <v>0</v>
      </c>
    </row>
    <row r="22" spans="1:33" ht="14.25" customHeight="1">
      <c r="A22" s="6" t="s">
        <v>44</v>
      </c>
      <c r="B22" s="6"/>
      <c r="C22" s="14">
        <f>Inputs!B48</f>
        <v>0</v>
      </c>
      <c r="D22" s="14"/>
      <c r="E22" s="36">
        <f t="shared" si="0"/>
        <v>0</v>
      </c>
      <c r="F22" s="36"/>
      <c r="G22" s="36">
        <f t="shared" si="1"/>
        <v>0</v>
      </c>
      <c r="H22" s="36"/>
      <c r="I22" s="36">
        <f t="shared" si="2"/>
        <v>0</v>
      </c>
      <c r="J22" s="36"/>
      <c r="K22" s="36">
        <f t="shared" si="3"/>
        <v>0</v>
      </c>
      <c r="L22" s="36"/>
      <c r="M22" s="36">
        <f t="shared" si="4"/>
        <v>0</v>
      </c>
      <c r="N22" s="36"/>
      <c r="O22" s="36">
        <f t="shared" si="5"/>
        <v>0</v>
      </c>
      <c r="P22" s="2"/>
      <c r="Q22" s="36">
        <f t="shared" si="6"/>
        <v>0</v>
      </c>
      <c r="R22" s="2"/>
      <c r="S22" s="36">
        <f t="shared" si="7"/>
        <v>0</v>
      </c>
      <c r="T22" s="2"/>
      <c r="U22" s="36">
        <f t="shared" si="8"/>
        <v>0</v>
      </c>
      <c r="V22" s="2"/>
      <c r="W22" s="36">
        <f t="shared" si="9"/>
        <v>0</v>
      </c>
      <c r="X22" s="2"/>
      <c r="Y22" s="36">
        <f t="shared" si="10"/>
        <v>0</v>
      </c>
      <c r="Z22" s="2"/>
      <c r="AA22" s="36">
        <f t="shared" si="11"/>
        <v>0</v>
      </c>
      <c r="AB22" s="2"/>
      <c r="AC22" s="36">
        <f t="shared" si="12"/>
        <v>0</v>
      </c>
      <c r="AD22" s="2"/>
      <c r="AE22" s="36">
        <f t="shared" si="13"/>
        <v>0</v>
      </c>
      <c r="AF22" s="2"/>
      <c r="AG22" s="36">
        <f t="shared" si="14"/>
        <v>0</v>
      </c>
    </row>
    <row r="23" spans="1:33" ht="14.25" customHeight="1">
      <c r="A23" s="6" t="s">
        <v>47</v>
      </c>
      <c r="B23" s="6"/>
      <c r="C23" s="14">
        <f>Inputs!B49</f>
        <v>0</v>
      </c>
      <c r="D23" s="14"/>
      <c r="E23" s="36">
        <f t="shared" si="0"/>
        <v>0</v>
      </c>
      <c r="F23" s="36"/>
      <c r="G23" s="36">
        <f t="shared" si="1"/>
        <v>0</v>
      </c>
      <c r="H23" s="36"/>
      <c r="I23" s="36">
        <f t="shared" si="2"/>
        <v>0</v>
      </c>
      <c r="J23" s="36"/>
      <c r="K23" s="36">
        <f t="shared" si="3"/>
        <v>0</v>
      </c>
      <c r="L23" s="36"/>
      <c r="M23" s="36">
        <f t="shared" si="4"/>
        <v>0</v>
      </c>
      <c r="N23" s="36"/>
      <c r="O23" s="36">
        <f t="shared" si="5"/>
        <v>0</v>
      </c>
      <c r="P23" s="2"/>
      <c r="Q23" s="36">
        <f t="shared" si="6"/>
        <v>0</v>
      </c>
      <c r="R23" s="2"/>
      <c r="S23" s="36">
        <f t="shared" si="7"/>
        <v>0</v>
      </c>
      <c r="T23" s="2"/>
      <c r="U23" s="36">
        <f t="shared" si="8"/>
        <v>0</v>
      </c>
      <c r="V23" s="2"/>
      <c r="W23" s="36">
        <f t="shared" si="9"/>
        <v>0</v>
      </c>
      <c r="X23" s="2"/>
      <c r="Y23" s="36">
        <f t="shared" si="10"/>
        <v>0</v>
      </c>
      <c r="Z23" s="2"/>
      <c r="AA23" s="36">
        <f t="shared" si="11"/>
        <v>0</v>
      </c>
      <c r="AB23" s="2"/>
      <c r="AC23" s="36">
        <f t="shared" si="12"/>
        <v>0</v>
      </c>
      <c r="AD23" s="2"/>
      <c r="AE23" s="36">
        <f t="shared" si="13"/>
        <v>0</v>
      </c>
      <c r="AF23" s="2"/>
      <c r="AG23" s="36">
        <f t="shared" si="14"/>
        <v>0</v>
      </c>
    </row>
    <row r="24" spans="1:33" ht="14.25" customHeight="1">
      <c r="A24" s="6" t="s">
        <v>50</v>
      </c>
      <c r="B24" s="6"/>
      <c r="C24" s="14">
        <f>Inputs!B50</f>
        <v>0</v>
      </c>
      <c r="D24" s="14"/>
      <c r="E24" s="36">
        <f t="shared" si="0"/>
        <v>0</v>
      </c>
      <c r="F24" s="36"/>
      <c r="G24" s="36">
        <f t="shared" si="1"/>
        <v>0</v>
      </c>
      <c r="H24" s="36"/>
      <c r="I24" s="36">
        <f t="shared" si="2"/>
        <v>0</v>
      </c>
      <c r="J24" s="36"/>
      <c r="K24" s="36">
        <f t="shared" si="3"/>
        <v>0</v>
      </c>
      <c r="L24" s="36"/>
      <c r="M24" s="36">
        <f t="shared" si="4"/>
        <v>0</v>
      </c>
      <c r="N24" s="36"/>
      <c r="O24" s="36">
        <f t="shared" si="5"/>
        <v>0</v>
      </c>
      <c r="P24" s="2"/>
      <c r="Q24" s="36">
        <f t="shared" si="6"/>
        <v>0</v>
      </c>
      <c r="R24" s="2"/>
      <c r="S24" s="36">
        <f t="shared" si="7"/>
        <v>0</v>
      </c>
      <c r="T24" s="2"/>
      <c r="U24" s="36">
        <f t="shared" si="8"/>
        <v>0</v>
      </c>
      <c r="V24" s="2"/>
      <c r="W24" s="36">
        <f t="shared" si="9"/>
        <v>0</v>
      </c>
      <c r="X24" s="2"/>
      <c r="Y24" s="36">
        <f t="shared" si="10"/>
        <v>0</v>
      </c>
      <c r="Z24" s="2"/>
      <c r="AA24" s="36">
        <f t="shared" si="11"/>
        <v>0</v>
      </c>
      <c r="AB24" s="2"/>
      <c r="AC24" s="36">
        <f t="shared" si="12"/>
        <v>0</v>
      </c>
      <c r="AD24" s="2"/>
      <c r="AE24" s="36">
        <f t="shared" si="13"/>
        <v>0</v>
      </c>
      <c r="AF24" s="2"/>
      <c r="AG24" s="36">
        <f t="shared" si="14"/>
        <v>0</v>
      </c>
    </row>
    <row r="25" spans="1:33" ht="14.25" customHeight="1">
      <c r="A25" s="6" t="str">
        <f>Inputs!A51</f>
        <v>HOA Dues</v>
      </c>
      <c r="B25" s="6"/>
      <c r="C25" s="14">
        <f>Inputs!B51</f>
        <v>1680</v>
      </c>
      <c r="D25" s="14"/>
      <c r="E25" s="36">
        <f t="shared" si="0"/>
        <v>1730.4</v>
      </c>
      <c r="F25" s="36"/>
      <c r="G25" s="36">
        <f t="shared" si="1"/>
        <v>1782.3120000000001</v>
      </c>
      <c r="H25" s="36"/>
      <c r="I25" s="36">
        <f t="shared" si="2"/>
        <v>1835.7813600000002</v>
      </c>
      <c r="J25" s="36"/>
      <c r="K25" s="36">
        <f t="shared" si="3"/>
        <v>1890.8548008000002</v>
      </c>
      <c r="L25" s="36"/>
      <c r="M25" s="36">
        <f t="shared" si="4"/>
        <v>1947.5804448240003</v>
      </c>
      <c r="N25" s="36"/>
      <c r="O25" s="36">
        <f t="shared" si="5"/>
        <v>2006.0078581687203</v>
      </c>
      <c r="P25" s="2"/>
      <c r="Q25" s="36">
        <f t="shared" si="6"/>
        <v>2066.1880939137818</v>
      </c>
      <c r="R25" s="2"/>
      <c r="S25" s="36">
        <f t="shared" si="7"/>
        <v>2128.1737367311953</v>
      </c>
      <c r="T25" s="2"/>
      <c r="U25" s="36">
        <f t="shared" si="8"/>
        <v>2192.0189488331312</v>
      </c>
      <c r="V25" s="2"/>
      <c r="W25" s="36">
        <f t="shared" si="9"/>
        <v>2257.779517298125</v>
      </c>
      <c r="X25" s="2"/>
      <c r="Y25" s="36">
        <f t="shared" si="10"/>
        <v>2325.5129028170691</v>
      </c>
      <c r="Z25" s="2"/>
      <c r="AA25" s="36">
        <f t="shared" si="11"/>
        <v>2395.278289901581</v>
      </c>
      <c r="AB25" s="2"/>
      <c r="AC25" s="36">
        <f t="shared" si="12"/>
        <v>2467.1366385986285</v>
      </c>
      <c r="AD25" s="2"/>
      <c r="AE25" s="36">
        <f t="shared" si="13"/>
        <v>2541.1507377565872</v>
      </c>
      <c r="AF25" s="2"/>
      <c r="AG25" s="36">
        <f t="shared" si="14"/>
        <v>2617.385259889285</v>
      </c>
    </row>
    <row r="26" spans="1:33" ht="14.25" customHeight="1">
      <c r="A26" s="6" t="str">
        <f>Inputs!A52</f>
        <v>Other</v>
      </c>
      <c r="B26" s="6"/>
      <c r="C26" s="14">
        <f>Inputs!B52</f>
        <v>0</v>
      </c>
      <c r="D26" s="14"/>
      <c r="E26" s="36">
        <f t="shared" si="0"/>
        <v>0</v>
      </c>
      <c r="F26" s="36"/>
      <c r="G26" s="36">
        <f t="shared" si="1"/>
        <v>0</v>
      </c>
      <c r="H26" s="36"/>
      <c r="I26" s="36">
        <f t="shared" si="2"/>
        <v>0</v>
      </c>
      <c r="J26" s="36"/>
      <c r="K26" s="36">
        <f t="shared" si="3"/>
        <v>0</v>
      </c>
      <c r="L26" s="36"/>
      <c r="M26" s="36">
        <f t="shared" si="4"/>
        <v>0</v>
      </c>
      <c r="N26" s="36"/>
      <c r="O26" s="36">
        <f t="shared" si="5"/>
        <v>0</v>
      </c>
      <c r="P26" s="2"/>
      <c r="Q26" s="36">
        <f t="shared" si="6"/>
        <v>0</v>
      </c>
      <c r="R26" s="2"/>
      <c r="S26" s="36">
        <f t="shared" si="7"/>
        <v>0</v>
      </c>
      <c r="T26" s="2"/>
      <c r="U26" s="36">
        <f t="shared" si="8"/>
        <v>0</v>
      </c>
      <c r="V26" s="2"/>
      <c r="W26" s="36">
        <f t="shared" si="9"/>
        <v>0</v>
      </c>
      <c r="X26" s="2"/>
      <c r="Y26" s="36">
        <f t="shared" si="10"/>
        <v>0</v>
      </c>
      <c r="Z26" s="2"/>
      <c r="AA26" s="36">
        <f t="shared" si="11"/>
        <v>0</v>
      </c>
      <c r="AB26" s="2"/>
      <c r="AC26" s="36">
        <f t="shared" si="12"/>
        <v>0</v>
      </c>
      <c r="AD26" s="2"/>
      <c r="AE26" s="36">
        <f t="shared" si="13"/>
        <v>0</v>
      </c>
      <c r="AF26" s="2"/>
      <c r="AG26" s="36">
        <f t="shared" si="14"/>
        <v>0</v>
      </c>
    </row>
    <row r="27" spans="1:33" ht="14.25" customHeight="1">
      <c r="A27" s="6" t="str">
        <f>Inputs!A53</f>
        <v>Other</v>
      </c>
      <c r="B27" s="6"/>
      <c r="C27" s="14">
        <f>Inputs!B53</f>
        <v>0</v>
      </c>
      <c r="D27" s="14"/>
      <c r="E27" s="36">
        <f t="shared" si="0"/>
        <v>0</v>
      </c>
      <c r="F27" s="36"/>
      <c r="G27" s="36">
        <f t="shared" si="1"/>
        <v>0</v>
      </c>
      <c r="H27" s="36"/>
      <c r="I27" s="36">
        <f t="shared" si="2"/>
        <v>0</v>
      </c>
      <c r="J27" s="36"/>
      <c r="K27" s="36">
        <f t="shared" si="3"/>
        <v>0</v>
      </c>
      <c r="L27" s="36"/>
      <c r="M27" s="36">
        <f t="shared" si="4"/>
        <v>0</v>
      </c>
      <c r="N27" s="36"/>
      <c r="O27" s="36">
        <f t="shared" si="5"/>
        <v>0</v>
      </c>
      <c r="P27" s="2"/>
      <c r="Q27" s="36">
        <f t="shared" si="6"/>
        <v>0</v>
      </c>
      <c r="R27" s="2"/>
      <c r="S27" s="36">
        <f t="shared" si="7"/>
        <v>0</v>
      </c>
      <c r="T27" s="2"/>
      <c r="U27" s="36">
        <f t="shared" si="8"/>
        <v>0</v>
      </c>
      <c r="V27" s="2"/>
      <c r="W27" s="36">
        <f t="shared" si="9"/>
        <v>0</v>
      </c>
      <c r="X27" s="2"/>
      <c r="Y27" s="36">
        <f t="shared" si="10"/>
        <v>0</v>
      </c>
      <c r="Z27" s="2"/>
      <c r="AA27" s="36">
        <f t="shared" si="11"/>
        <v>0</v>
      </c>
      <c r="AB27" s="2"/>
      <c r="AC27" s="36">
        <f t="shared" si="12"/>
        <v>0</v>
      </c>
      <c r="AD27" s="2"/>
      <c r="AE27" s="36">
        <f t="shared" si="13"/>
        <v>0</v>
      </c>
      <c r="AF27" s="2"/>
      <c r="AG27" s="36">
        <f t="shared" si="14"/>
        <v>0</v>
      </c>
    </row>
    <row r="28" spans="1:33" ht="14.25" customHeight="1">
      <c r="A28" s="6" t="str">
        <f>Inputs!A54</f>
        <v>Other</v>
      </c>
      <c r="B28" s="6"/>
      <c r="C28" s="14">
        <f>Inputs!B54</f>
        <v>0</v>
      </c>
      <c r="D28" s="14"/>
      <c r="E28" s="36">
        <f t="shared" si="0"/>
        <v>0</v>
      </c>
      <c r="F28" s="36"/>
      <c r="G28" s="36">
        <f t="shared" si="1"/>
        <v>0</v>
      </c>
      <c r="H28" s="36"/>
      <c r="I28" s="36">
        <f t="shared" si="2"/>
        <v>0</v>
      </c>
      <c r="J28" s="36"/>
      <c r="K28" s="36">
        <f t="shared" si="3"/>
        <v>0</v>
      </c>
      <c r="L28" s="36"/>
      <c r="M28" s="36">
        <f t="shared" si="4"/>
        <v>0</v>
      </c>
      <c r="N28" s="36"/>
      <c r="O28" s="36">
        <f t="shared" si="5"/>
        <v>0</v>
      </c>
      <c r="P28" s="2"/>
      <c r="Q28" s="36">
        <f t="shared" si="6"/>
        <v>0</v>
      </c>
      <c r="R28" s="2"/>
      <c r="S28" s="36">
        <f t="shared" si="7"/>
        <v>0</v>
      </c>
      <c r="T28" s="2"/>
      <c r="U28" s="36">
        <f t="shared" si="8"/>
        <v>0</v>
      </c>
      <c r="V28" s="2"/>
      <c r="W28" s="36">
        <f t="shared" si="9"/>
        <v>0</v>
      </c>
      <c r="X28" s="2"/>
      <c r="Y28" s="36">
        <f t="shared" si="10"/>
        <v>0</v>
      </c>
      <c r="Z28" s="2"/>
      <c r="AA28" s="36">
        <f t="shared" si="11"/>
        <v>0</v>
      </c>
      <c r="AB28" s="2"/>
      <c r="AC28" s="36">
        <f t="shared" si="12"/>
        <v>0</v>
      </c>
      <c r="AD28" s="2"/>
      <c r="AE28" s="36">
        <f t="shared" si="13"/>
        <v>0</v>
      </c>
      <c r="AF28" s="2"/>
      <c r="AG28" s="36">
        <f t="shared" si="14"/>
        <v>0</v>
      </c>
    </row>
    <row r="29" spans="1:33" ht="14.25" customHeight="1">
      <c r="A29" s="6" t="str">
        <f>Inputs!A55</f>
        <v>Other</v>
      </c>
      <c r="B29" s="6"/>
      <c r="C29" s="14">
        <f>Inputs!B55</f>
        <v>0</v>
      </c>
      <c r="D29" s="14"/>
      <c r="E29" s="36">
        <f t="shared" si="0"/>
        <v>0</v>
      </c>
      <c r="F29" s="36"/>
      <c r="G29" s="36">
        <f t="shared" si="1"/>
        <v>0</v>
      </c>
      <c r="H29" s="36"/>
      <c r="I29" s="36">
        <f t="shared" si="2"/>
        <v>0</v>
      </c>
      <c r="J29" s="36"/>
      <c r="K29" s="36">
        <f t="shared" si="3"/>
        <v>0</v>
      </c>
      <c r="L29" s="36"/>
      <c r="M29" s="36">
        <f t="shared" si="4"/>
        <v>0</v>
      </c>
      <c r="N29" s="36"/>
      <c r="O29" s="36">
        <f t="shared" si="5"/>
        <v>0</v>
      </c>
      <c r="P29" s="2"/>
      <c r="Q29" s="36">
        <f t="shared" si="6"/>
        <v>0</v>
      </c>
      <c r="R29" s="2"/>
      <c r="S29" s="36">
        <f t="shared" si="7"/>
        <v>0</v>
      </c>
      <c r="T29" s="2"/>
      <c r="U29" s="36">
        <f t="shared" si="8"/>
        <v>0</v>
      </c>
      <c r="V29" s="2"/>
      <c r="W29" s="36">
        <f t="shared" si="9"/>
        <v>0</v>
      </c>
      <c r="X29" s="2"/>
      <c r="Y29" s="36">
        <f t="shared" si="10"/>
        <v>0</v>
      </c>
      <c r="Z29" s="2"/>
      <c r="AA29" s="36">
        <f t="shared" si="11"/>
        <v>0</v>
      </c>
      <c r="AB29" s="2"/>
      <c r="AC29" s="36">
        <f t="shared" si="12"/>
        <v>0</v>
      </c>
      <c r="AD29" s="2"/>
      <c r="AE29" s="36">
        <f t="shared" si="13"/>
        <v>0</v>
      </c>
      <c r="AF29" s="2"/>
      <c r="AG29" s="36">
        <f t="shared" si="14"/>
        <v>0</v>
      </c>
    </row>
    <row r="30" spans="1:33" ht="14.25" customHeight="1">
      <c r="A30" s="6" t="str">
        <f>Inputs!A56</f>
        <v>Other</v>
      </c>
      <c r="B30" s="6"/>
      <c r="C30" s="18">
        <f>Inputs!B56</f>
        <v>0</v>
      </c>
      <c r="D30" s="14"/>
      <c r="E30" s="46">
        <f t="shared" si="0"/>
        <v>0</v>
      </c>
      <c r="F30" s="36"/>
      <c r="G30" s="46">
        <f t="shared" si="1"/>
        <v>0</v>
      </c>
      <c r="H30" s="36"/>
      <c r="I30" s="46">
        <f t="shared" si="2"/>
        <v>0</v>
      </c>
      <c r="J30" s="36"/>
      <c r="K30" s="46">
        <f t="shared" si="3"/>
        <v>0</v>
      </c>
      <c r="L30" s="36"/>
      <c r="M30" s="46">
        <f t="shared" si="4"/>
        <v>0</v>
      </c>
      <c r="N30" s="36"/>
      <c r="O30" s="46">
        <f t="shared" si="5"/>
        <v>0</v>
      </c>
      <c r="P30" s="2"/>
      <c r="Q30" s="46">
        <f t="shared" si="6"/>
        <v>0</v>
      </c>
      <c r="R30" s="2"/>
      <c r="S30" s="46">
        <f t="shared" si="7"/>
        <v>0</v>
      </c>
      <c r="T30" s="2"/>
      <c r="U30" s="46">
        <f t="shared" si="8"/>
        <v>0</v>
      </c>
      <c r="V30" s="2"/>
      <c r="W30" s="46">
        <f t="shared" si="9"/>
        <v>0</v>
      </c>
      <c r="X30" s="2"/>
      <c r="Y30" s="46">
        <f t="shared" si="10"/>
        <v>0</v>
      </c>
      <c r="Z30" s="2"/>
      <c r="AA30" s="46">
        <f t="shared" si="11"/>
        <v>0</v>
      </c>
      <c r="AB30" s="2"/>
      <c r="AC30" s="46">
        <f t="shared" si="12"/>
        <v>0</v>
      </c>
      <c r="AD30" s="2"/>
      <c r="AE30" s="46">
        <f t="shared" si="13"/>
        <v>0</v>
      </c>
      <c r="AF30" s="2"/>
      <c r="AG30" s="46">
        <f t="shared" si="14"/>
        <v>0</v>
      </c>
    </row>
    <row r="31" spans="1:33" ht="14.25" customHeight="1">
      <c r="A31" s="4" t="s">
        <v>56</v>
      </c>
      <c r="B31" s="6"/>
      <c r="C31" s="19">
        <f>SUM(C16:C30)</f>
        <v>4456</v>
      </c>
      <c r="D31" s="14"/>
      <c r="E31" s="19">
        <f>SUM(E16:E30)</f>
        <v>4627.0599999999995</v>
      </c>
      <c r="F31" s="36"/>
      <c r="G31" s="19">
        <f>SUM(G16:G30)</f>
        <v>4805.4946</v>
      </c>
      <c r="H31" s="36"/>
      <c r="I31" s="19">
        <f>SUM(I16:I30)</f>
        <v>4991.6596060000002</v>
      </c>
      <c r="J31" s="36"/>
      <c r="K31" s="19">
        <f>SUM(K16:K30)</f>
        <v>5185.92957226</v>
      </c>
      <c r="L31" s="19"/>
      <c r="M31" s="19">
        <f>SUM(M16:M30)</f>
        <v>5388.698848192601</v>
      </c>
      <c r="N31" s="19"/>
      <c r="O31" s="19">
        <f>SUM(O16:O30)</f>
        <v>5600.3826857290669</v>
      </c>
      <c r="P31" s="2"/>
      <c r="Q31" s="19">
        <f>SUM(Q16:Q30)</f>
        <v>5821.4184107170677</v>
      </c>
      <c r="R31" s="2"/>
      <c r="S31" s="19">
        <f>SUM(S16:S30)</f>
        <v>6052.2666621196777</v>
      </c>
      <c r="T31" s="2"/>
      <c r="U31" s="19">
        <f>SUM(U16:U30)</f>
        <v>6293.4127030092313</v>
      </c>
      <c r="V31" s="2"/>
      <c r="W31" s="19">
        <f>SUM(W16:W30)</f>
        <v>6545.3678075870284</v>
      </c>
      <c r="X31" s="2"/>
      <c r="Y31" s="19">
        <f>SUM(Y16:Y30)</f>
        <v>6808.6707287114114</v>
      </c>
      <c r="Z31" s="2"/>
      <c r="AA31" s="19">
        <f>SUM(AA16:AA30)</f>
        <v>7083.8892506833317</v>
      </c>
      <c r="AB31" s="2"/>
      <c r="AC31" s="19">
        <f>SUM(AC16:AC30)</f>
        <v>7371.6218323210451</v>
      </c>
      <c r="AD31" s="2"/>
      <c r="AE31" s="19">
        <f>SUM(AE16:AE30)</f>
        <v>7672.4993456549219</v>
      </c>
      <c r="AF31" s="2"/>
      <c r="AG31" s="19">
        <f>SUM(AG16:AG30)</f>
        <v>7987.1869158906702</v>
      </c>
    </row>
    <row r="32" spans="1:33" ht="14.25" customHeight="1">
      <c r="A32" s="6"/>
      <c r="B32" s="6"/>
      <c r="C32" s="14"/>
      <c r="D32" s="14"/>
      <c r="E32" s="36"/>
      <c r="F32" s="36"/>
      <c r="G32" s="36"/>
      <c r="H32" s="36"/>
      <c r="I32" s="36"/>
      <c r="J32" s="36"/>
      <c r="K32" s="36"/>
      <c r="L32" s="36"/>
      <c r="M32" s="36"/>
      <c r="N32" s="36"/>
      <c r="O32" s="36"/>
      <c r="P32" s="2"/>
      <c r="Q32" s="36"/>
      <c r="R32" s="2"/>
      <c r="S32" s="36"/>
      <c r="T32" s="2"/>
      <c r="U32" s="36"/>
      <c r="V32" s="2"/>
      <c r="W32" s="36"/>
      <c r="X32" s="2"/>
      <c r="Y32" s="36"/>
      <c r="Z32" s="2"/>
      <c r="AA32" s="36"/>
      <c r="AB32" s="2"/>
      <c r="AC32" s="36"/>
      <c r="AD32" s="2"/>
      <c r="AE32" s="36"/>
      <c r="AF32" s="2"/>
      <c r="AG32" s="36"/>
    </row>
    <row r="33" spans="1:33" ht="14.25" customHeight="1">
      <c r="A33" s="4" t="s">
        <v>57</v>
      </c>
      <c r="B33" s="6"/>
      <c r="C33" s="19">
        <f>C13-C31</f>
        <v>18914</v>
      </c>
      <c r="D33" s="14"/>
      <c r="E33" s="19">
        <f>E13-E31</f>
        <v>19911.440000000002</v>
      </c>
      <c r="F33" s="36"/>
      <c r="G33" s="19">
        <f>G13-G31</f>
        <v>20959.930399999997</v>
      </c>
      <c r="H33" s="36"/>
      <c r="I33" s="19">
        <f>I13-I31</f>
        <v>22062.036644</v>
      </c>
      <c r="J33" s="36"/>
      <c r="K33" s="19">
        <f>K13-K31</f>
        <v>23220.451490240001</v>
      </c>
      <c r="L33" s="19"/>
      <c r="M33" s="19">
        <f>M13-M31</f>
        <v>24438.001267432399</v>
      </c>
      <c r="N33" s="19"/>
      <c r="O33" s="19">
        <f>O13-O31</f>
        <v>25717.652435677188</v>
      </c>
      <c r="P33" s="2"/>
      <c r="Q33" s="19">
        <f>Q13-Q31</f>
        <v>27062.518466759502</v>
      </c>
      <c r="R33" s="2"/>
      <c r="S33" s="19">
        <f>S13-S31</f>
        <v>28475.867059230717</v>
      </c>
      <c r="T33" s="2"/>
      <c r="U33" s="19">
        <f>U13-U31</f>
        <v>29961.127704408678</v>
      </c>
      <c r="V33" s="2"/>
      <c r="W33" s="19">
        <f>W13-W31</f>
        <v>31521.899620201788</v>
      </c>
      <c r="X33" s="2"/>
      <c r="Y33" s="19">
        <f>Y13-Y31</f>
        <v>33161.960070466848</v>
      </c>
      <c r="Z33" s="2"/>
      <c r="AA33" s="19">
        <f>AA13-AA31</f>
        <v>34885.273088453847</v>
      </c>
      <c r="AB33" s="2"/>
      <c r="AC33" s="19">
        <f>AC13-AC31</f>
        <v>36695.99862377299</v>
      </c>
      <c r="AD33" s="2"/>
      <c r="AE33" s="19">
        <f>AE13-AE31</f>
        <v>38598.502133243819</v>
      </c>
      <c r="AF33" s="2"/>
      <c r="AG33" s="19">
        <f>AG13-AG31</f>
        <v>40597.364636953011</v>
      </c>
    </row>
    <row r="34" spans="1:33" ht="14.25" customHeight="1">
      <c r="A34" s="2"/>
      <c r="B34" s="2"/>
      <c r="C34" s="36"/>
      <c r="D34" s="36"/>
      <c r="E34" s="36"/>
      <c r="F34" s="36"/>
      <c r="G34" s="36"/>
      <c r="H34" s="36"/>
      <c r="I34" s="36"/>
      <c r="J34" s="36"/>
      <c r="K34" s="36"/>
      <c r="L34" s="36"/>
      <c r="M34" s="36"/>
      <c r="N34" s="36"/>
      <c r="O34" s="36"/>
      <c r="P34" s="2"/>
      <c r="Q34" s="36"/>
      <c r="R34" s="2"/>
      <c r="S34" s="36"/>
      <c r="T34" s="2"/>
      <c r="U34" s="36"/>
      <c r="V34" s="2"/>
      <c r="W34" s="36"/>
      <c r="X34" s="2"/>
      <c r="Y34" s="36"/>
      <c r="Z34" s="2"/>
      <c r="AA34" s="36"/>
      <c r="AB34" s="2"/>
      <c r="AC34" s="36"/>
      <c r="AD34" s="2"/>
      <c r="AE34" s="36"/>
      <c r="AF34" s="2"/>
      <c r="AG34" s="36"/>
    </row>
    <row r="35" spans="1:33" ht="14.25" customHeight="1">
      <c r="A35" s="6" t="s">
        <v>58</v>
      </c>
      <c r="B35" s="2"/>
      <c r="C35" s="14">
        <f>PMT(Inputs!B24/12,Inputs!B25*12,Inputs!B19,0)*12</f>
        <v>-12676.030277025595</v>
      </c>
      <c r="D35" s="36"/>
      <c r="E35" s="14">
        <f>IF(C40&gt;0,PMT(Inputs!$B$24/12,Inputs!B25*12,Inputs!$B$19,0)*12,0)</f>
        <v>-12676.030277025595</v>
      </c>
      <c r="F35" s="36"/>
      <c r="G35" s="14">
        <f>IF(E40&gt;0,PMT(Inputs!$B$24/12,Inputs!B25*12,Inputs!$B$19,0)*12,0)</f>
        <v>-12676.030277025595</v>
      </c>
      <c r="H35" s="36"/>
      <c r="I35" s="14">
        <f>IF(G40&gt;0,PMT(Inputs!$B$24/12,Inputs!B25*12,Inputs!$B$19,0)*12,0)</f>
        <v>-12676.030277025595</v>
      </c>
      <c r="J35" s="36"/>
      <c r="K35" s="14">
        <f>IF(I40&gt;0,PMT(Inputs!$B$24/12,Inputs!B25*12,Inputs!$B$19,0)*12,)</f>
        <v>-12676.030277025595</v>
      </c>
      <c r="L35" s="14"/>
      <c r="M35" s="14">
        <f>IF(K40&gt;0,PMT(Inputs!B24/12,Inputs!B25*12,Inputs!B19,0)*12,0)</f>
        <v>-12676.030277025595</v>
      </c>
      <c r="N35" s="14"/>
      <c r="O35" s="14">
        <f>IF(M40&gt;0,PMT(Inputs!B24/12,Inputs!B25*12,Inputs!B19,0)*12,)</f>
        <v>-12676.030277025595</v>
      </c>
      <c r="P35" s="2"/>
      <c r="Q35" s="14">
        <f>IF(O40&gt;0,PMT(Inputs!B24/12,Inputs!B25*12,Inputs!B19,0)*12,)</f>
        <v>-12676.030277025595</v>
      </c>
      <c r="R35" s="2"/>
      <c r="S35" s="14">
        <f>IF(Q40&gt;0,PMT(Inputs!B24/12,Inputs!B25*12,Inputs!B19,0)*12,0)</f>
        <v>-12676.030277025595</v>
      </c>
      <c r="T35" s="2"/>
      <c r="U35" s="14">
        <f>IF(S40&gt;0,PMT(Inputs!B24/12,Inputs!B25*12,Inputs!B19,0)*12,0)</f>
        <v>-12676.030277025595</v>
      </c>
      <c r="V35" s="2"/>
      <c r="W35" s="14">
        <f>IF(U40&gt;0,PMT(Inputs!B24/12,Inputs!B25*12,Inputs!B19,0)*12,0)</f>
        <v>-12676.030277025595</v>
      </c>
      <c r="X35" s="2"/>
      <c r="Y35" s="14">
        <f>IF(W40&gt;0,PMT(Inputs!B24/12,Inputs!B25*12,Inputs!B19,0)*12,0)</f>
        <v>-12676.030277025595</v>
      </c>
      <c r="Z35" s="2"/>
      <c r="AA35" s="14">
        <f>IF(Y40&gt;0,PMT(Inputs!B24/12,Inputs!B25*12,Inputs!B19,0)*12,0)</f>
        <v>0</v>
      </c>
      <c r="AB35" s="2"/>
      <c r="AC35" s="14">
        <f>IF(AA40&gt;0,PMT(Inputs!B24/12,Inputs!B25*12,Inputs!B19,0)*12,0)</f>
        <v>0</v>
      </c>
      <c r="AD35" s="2"/>
      <c r="AE35" s="14">
        <f>IF(AC40&gt;0,PMT(Inputs!B24/12,Inputs!B25*12,Inputs!B19,0)*12,0)</f>
        <v>0</v>
      </c>
      <c r="AF35" s="2"/>
      <c r="AG35" s="14">
        <f>IF(AE40&gt;0,PMT(Inputs!B24/12,Inputs!B25*12,Inputs!B19,0)*12,0)</f>
        <v>0</v>
      </c>
    </row>
    <row r="36" spans="1:33" ht="14.25" customHeight="1">
      <c r="A36" s="2"/>
      <c r="B36" s="2"/>
      <c r="C36" s="36"/>
      <c r="D36" s="36"/>
      <c r="E36" s="36"/>
      <c r="F36" s="36"/>
      <c r="G36" s="36"/>
      <c r="H36" s="36"/>
      <c r="I36" s="36"/>
      <c r="J36" s="36"/>
      <c r="K36" s="36"/>
      <c r="L36" s="36"/>
      <c r="M36" s="14"/>
      <c r="N36" s="36"/>
      <c r="O36" s="36"/>
      <c r="P36" s="2"/>
      <c r="Q36" s="36"/>
      <c r="R36" s="2"/>
      <c r="S36" s="36"/>
      <c r="T36" s="2"/>
      <c r="U36" s="36"/>
      <c r="V36" s="2"/>
      <c r="W36" s="36"/>
      <c r="X36" s="2"/>
      <c r="Y36" s="36"/>
      <c r="Z36" s="2"/>
      <c r="AA36" s="36"/>
      <c r="AB36" s="2"/>
      <c r="AC36" s="36"/>
      <c r="AD36" s="2"/>
      <c r="AE36" s="36"/>
      <c r="AF36" s="2"/>
      <c r="AG36" s="36"/>
    </row>
    <row r="37" spans="1:33" ht="14.25" customHeight="1">
      <c r="A37" s="1" t="s">
        <v>67</v>
      </c>
      <c r="B37" s="40"/>
      <c r="C37" s="72">
        <f>C33+C35</f>
        <v>6237.9697229744052</v>
      </c>
      <c r="D37" s="36"/>
      <c r="E37" s="72">
        <f>E33+E35</f>
        <v>7235.4097229744075</v>
      </c>
      <c r="F37" s="36"/>
      <c r="G37" s="72">
        <f>G33+G35</f>
        <v>8283.9001229744026</v>
      </c>
      <c r="H37" s="36"/>
      <c r="I37" s="72">
        <f>I33+I35</f>
        <v>9386.006366974405</v>
      </c>
      <c r="J37" s="36"/>
      <c r="K37" s="72">
        <f>K33+K35</f>
        <v>10544.421213214406</v>
      </c>
      <c r="L37" s="73"/>
      <c r="M37" s="72">
        <f>M33+M35</f>
        <v>11761.970990406804</v>
      </c>
      <c r="N37" s="73"/>
      <c r="O37" s="72">
        <f>O33+O35</f>
        <v>13041.622158651593</v>
      </c>
      <c r="P37" s="2"/>
      <c r="Q37" s="72">
        <f>Q33+Q35</f>
        <v>14386.488189733907</v>
      </c>
      <c r="R37" s="2"/>
      <c r="S37" s="72">
        <f>S33+S35</f>
        <v>15799.836782205122</v>
      </c>
      <c r="T37" s="2"/>
      <c r="U37" s="72">
        <f>U33+U35</f>
        <v>17285.097427383083</v>
      </c>
      <c r="V37" s="2"/>
      <c r="W37" s="72">
        <f>W33+W35</f>
        <v>18845.869343176193</v>
      </c>
      <c r="X37" s="2"/>
      <c r="Y37" s="72">
        <f>Y33+Y35</f>
        <v>20485.929793441253</v>
      </c>
      <c r="Z37" s="2"/>
      <c r="AA37" s="72">
        <f>AA33+AA35</f>
        <v>34885.273088453847</v>
      </c>
      <c r="AB37" s="2"/>
      <c r="AC37" s="72">
        <f>AC33+AC35</f>
        <v>36695.99862377299</v>
      </c>
      <c r="AD37" s="2"/>
      <c r="AE37" s="72">
        <f>AE33+AE35</f>
        <v>38598.502133243819</v>
      </c>
      <c r="AF37" s="2"/>
      <c r="AG37" s="72">
        <f>AG33+AG35</f>
        <v>40597.364636953011</v>
      </c>
    </row>
    <row r="38" spans="1:33" ht="14.25" customHeight="1">
      <c r="A38" s="2"/>
      <c r="B38" s="2"/>
      <c r="C38" s="36"/>
      <c r="D38" s="36"/>
      <c r="E38" s="36"/>
      <c r="F38" s="36"/>
      <c r="G38" s="36"/>
      <c r="H38" s="36"/>
      <c r="I38" s="36"/>
      <c r="J38" s="36"/>
      <c r="K38" s="36"/>
      <c r="L38" s="36"/>
      <c r="M38" s="36"/>
      <c r="N38" s="36"/>
      <c r="O38" s="36"/>
      <c r="P38" s="2"/>
      <c r="Q38" s="36"/>
      <c r="R38" s="2"/>
      <c r="S38" s="36"/>
      <c r="T38" s="2"/>
      <c r="U38" s="36"/>
      <c r="V38" s="2"/>
      <c r="W38" s="36"/>
      <c r="X38" s="2"/>
      <c r="Y38" s="36"/>
      <c r="Z38" s="2"/>
      <c r="AA38" s="36"/>
      <c r="AB38" s="2"/>
      <c r="AC38" s="36"/>
      <c r="AD38" s="2"/>
      <c r="AE38" s="36"/>
      <c r="AF38" s="2"/>
      <c r="AG38" s="36"/>
    </row>
    <row r="39" spans="1:33" ht="14.25" customHeight="1">
      <c r="A39" s="2" t="s">
        <v>100</v>
      </c>
      <c r="B39" s="2"/>
      <c r="C39" s="14">
        <f>Inputs!B15*(1+Inputs!B39)</f>
        <v>286200</v>
      </c>
      <c r="D39" s="14"/>
      <c r="E39" s="14">
        <f>C39*(1+Inputs!$B$39)</f>
        <v>303372</v>
      </c>
      <c r="F39" s="14"/>
      <c r="G39" s="14">
        <f>E39*(1+Inputs!$B$39)</f>
        <v>321574.32</v>
      </c>
      <c r="H39" s="14"/>
      <c r="I39" s="14">
        <f>G39*(1+Inputs!$B$39)</f>
        <v>340868.77920000005</v>
      </c>
      <c r="J39" s="14"/>
      <c r="K39" s="14">
        <f>I39*(1+Inputs!$B$39)</f>
        <v>361320.90595200006</v>
      </c>
      <c r="L39" s="14"/>
      <c r="M39" s="14">
        <f>K39*(1+Inputs!$B$39)</f>
        <v>383000.16030912008</v>
      </c>
      <c r="N39" s="14"/>
      <c r="O39" s="14">
        <f>M39*(1+Inputs!$B$39)</f>
        <v>405980.1699276673</v>
      </c>
      <c r="P39" s="2"/>
      <c r="Q39" s="14">
        <f>O39*(1+Inputs!$B$39)</f>
        <v>430338.98012332735</v>
      </c>
      <c r="R39" s="2"/>
      <c r="S39" s="14">
        <f>Q39*(1+Inputs!$B$39)</f>
        <v>456159.31893072702</v>
      </c>
      <c r="T39" s="2"/>
      <c r="U39" s="14">
        <f>S39*(1+Inputs!$B$39)</f>
        <v>483528.87806657067</v>
      </c>
      <c r="V39" s="2"/>
      <c r="W39" s="14">
        <f>U39*(1+Inputs!$B$39)</f>
        <v>512540.61075056496</v>
      </c>
      <c r="X39" s="2"/>
      <c r="Y39" s="14">
        <f>W39*(1+Inputs!$B$39)</f>
        <v>543293.04739559884</v>
      </c>
      <c r="Z39" s="2"/>
      <c r="AA39" s="14">
        <f>Y39*(1+Inputs!$B$39)</f>
        <v>575890.63023933477</v>
      </c>
      <c r="AB39" s="2"/>
      <c r="AC39" s="14">
        <f>AA39*(1+Inputs!$B$39)</f>
        <v>610444.06805369491</v>
      </c>
      <c r="AD39" s="2"/>
      <c r="AE39" s="14">
        <f>AC39*(1+Inputs!$B$39)</f>
        <v>647070.71213691658</v>
      </c>
      <c r="AF39" s="2"/>
      <c r="AG39" s="14">
        <f>AE39*(1+Inputs!$B$39)</f>
        <v>685894.95486513164</v>
      </c>
    </row>
    <row r="40" spans="1:33" ht="14.25" customHeight="1">
      <c r="A40" s="2" t="s">
        <v>101</v>
      </c>
      <c r="B40" s="2"/>
      <c r="C40" s="74">
        <f>IF((Inputs!B19+CUMPRINC(Inputs!$B$24/12,Inputs!B25*12,Inputs!$B$19,1,12,0)-C37)&gt;0,Inputs!B19+CUMPRINC(Inputs!$B$24/12,Inputs!B25*12,Inputs!$B$19,1,12,0)-C37,0)</f>
        <v>193137.30437311225</v>
      </c>
      <c r="D40" s="14"/>
      <c r="E40" s="75">
        <f>IF((C40+CUMPRINC(Inputs!$B$24/12,Inputs!B25*12,Inputs!$B$19,13,24,0)-E37)&gt;0,(C40+CUMPRINC(Inputs!$B$24/12,Inputs!B25*12,Inputs!$B$19,13,24,0)-E37),0)</f>
        <v>182625.4699234904</v>
      </c>
      <c r="F40" s="14"/>
      <c r="G40" s="74">
        <f>IF((E40+CUMPRINC(Inputs!$B$24/12,Inputs!B25*12,Inputs!$B$19,25,36,0)-G37)&gt;0,E40+CUMPRINC(Inputs!$B$24/12,Inputs!B25*12,Inputs!$B$19,25,36,0)-G37,0)</f>
        <v>170906.08159467293</v>
      </c>
      <c r="H40" s="14"/>
      <c r="I40" s="75">
        <f>IF((G40+CUMPRINC(Inputs!$B$24/12,Inputs!B25*12,Inputs!$B$19,37,48,0)-I37)&gt;0,G40+CUMPRINC(Inputs!$B$24/12,Inputs!B25*12,Inputs!$B$19,37,48,0)-I37,0)</f>
        <v>157917.80134772943</v>
      </c>
      <c r="J40" s="14"/>
      <c r="K40" s="74">
        <f>IF((I40+CUMPRINC(Inputs!$B$24/12,Inputs!B25*12,Inputs!$B$19,49,60,0)-K37)&gt;0,I40+CUMPRINC(Inputs!$B$24/12,Inputs!B25*12,Inputs!$B$19,49,60,0)-K37,0)</f>
        <v>143596.22348928559</v>
      </c>
      <c r="L40" s="14"/>
      <c r="M40" s="81">
        <f>IF((K40+CUMPRINC(Inputs!$B$24/12,Inputs!B25*12,Inputs!$B$19,61,72,0)-M37)&gt;0,K40+CUMPRINC(Inputs!$B$24/12,Inputs!B25*12,Inputs!$B$19,61,72,0)-M37,0)</f>
        <v>127873.72290063421</v>
      </c>
      <c r="N40" s="14"/>
      <c r="O40" s="74">
        <f>IF((M40+CUMPRINC(Inputs!$B$24/12,Inputs!B25*12,Inputs!$B$19,73,84,0)-O37)&gt;0,M40+CUMPRINC(Inputs!$B$24/12,Inputs!B25*12,Inputs!$B$19,73,84,0)-O37,0)</f>
        <v>110679.29582233954</v>
      </c>
      <c r="P40" s="2"/>
      <c r="Q40" s="75">
        <f>IF((O40+CUMPRINC(Inputs!$B$24/12,Inputs!B25*12,Inputs!$B$19,85,96,0)-Q37)&gt;0,O40+CUMPRINC(Inputs!$B$24/12,Inputs!B25*12,Inputs!$B$19,85,96,0)-Q37,0)</f>
        <v>91938.392832055833</v>
      </c>
      <c r="R40" s="2"/>
      <c r="S40" s="74">
        <f>IF((Q40+CUMPRINC(Inputs!$B$24/12,Inputs!B25*12,Inputs!$B$19,97,108,0)-S37)&gt;0,Q40+CUMPRINC(Inputs!$B$24/12,Inputs!B25*12,Inputs!$B$19,97,108,0)-S37,0)</f>
        <v>71572.743635797597</v>
      </c>
      <c r="T40" s="2"/>
      <c r="U40" s="75">
        <f>IF((S40+CUMPRINC(Inputs!$B$24/12,Inputs!B25*12,Inputs!$B$19,109,120,0)-U37)&gt;0,S40+CUMPRINC(Inputs!$B$24/12,Inputs!B25*12,Inputs!$B$19,109,120,0)-U37,0)</f>
        <v>49500.173274579807</v>
      </c>
      <c r="V40" s="2"/>
      <c r="W40" s="74">
        <f>IF((U40+CUMPRINC(Inputs!$B$24/12,Inputs!B25*12,Inputs!$B$19,121,132,0)-W37)&gt;0,U40+CUMPRINC(Inputs!$B$24/12,Inputs!B25*12,Inputs!$B$19,121,132,0)-W37,0)</f>
        <v>25634.409329151706</v>
      </c>
      <c r="X40" s="2"/>
      <c r="Y40" s="75">
        <f>IF((W40+CUMPRINC(Inputs!$B$24/12,Inputs!B25*12,Inputs!$B$19,133,144,0)-Y37)&gt;0,W40+CUMPRINC(Inputs!$B$24/12,Inputs!B25*12,Inputs!$B$19,133,144,0)-Y37,0)</f>
        <v>0</v>
      </c>
      <c r="Z40" s="2"/>
      <c r="AA40" s="74">
        <f>IF((Y40+CUMPRINC(Inputs!$B$24/12,Inputs!B25*12,Inputs!$B$19,145,156,0)-AA37)&gt;0,Y40+CUMPRINC(Inputs!$B$24/12,Inputs!B25*12,Inputs!$B$19,145,156,0)-AA37,0)</f>
        <v>0</v>
      </c>
      <c r="AB40" s="2"/>
      <c r="AC40" s="75">
        <f>IF((AA40+CUMPRINC(Inputs!$B$24/12,Inputs!B25*12,Inputs!$B$19,158,169,0)-AC37)&gt;0,AA40+CUMPRINC(Inputs!$B$24/12,Inputs!B25*12,Inputs!$B$19,158,169,0)-AC37,0)</f>
        <v>0</v>
      </c>
      <c r="AD40" s="2"/>
      <c r="AE40" s="74">
        <f>IF((AC40+CUMPRINC(Inputs!$B$24/12,Inputs!B25*12,Inputs!$B$19,169,180,0)-AE37)&gt;0,AC40+CUMPRINC(Inputs!$B$24/12,Inputs!B25*12,Inputs!$B$19,169,180,0)-AE37,0)</f>
        <v>0</v>
      </c>
      <c r="AF40" s="2"/>
      <c r="AG40" s="74">
        <f>IF((AE40+CUMPRINC(Inputs!$B$24/12,Inputs!B25*12,Inputs!$B$19,169,180,0)-AG37)&gt;0,AE40+CUMPRINC(Inputs!$B$24/12,Inputs!B25*12,Inputs!$B$19,169,180,0)-AG37,0)</f>
        <v>0</v>
      </c>
    </row>
    <row r="41" spans="1:33" ht="14.25" customHeight="1">
      <c r="A41" s="2" t="s">
        <v>102</v>
      </c>
      <c r="B41" s="2"/>
      <c r="C41" s="77">
        <f>C39-C40</f>
        <v>93062.695626887755</v>
      </c>
      <c r="D41" s="14"/>
      <c r="E41" s="77">
        <f>E39-E40</f>
        <v>120746.5300765096</v>
      </c>
      <c r="F41" s="14"/>
      <c r="G41" s="77">
        <f>G39-G40</f>
        <v>150668.23840532708</v>
      </c>
      <c r="H41" s="14"/>
      <c r="I41" s="77">
        <f>I39-I40</f>
        <v>182950.97785227062</v>
      </c>
      <c r="J41" s="14"/>
      <c r="K41" s="77">
        <f>K39-K40</f>
        <v>217724.68246271447</v>
      </c>
      <c r="L41" s="14"/>
      <c r="M41" s="77">
        <f>M39-M40</f>
        <v>255126.43740848586</v>
      </c>
      <c r="N41" s="14"/>
      <c r="O41" s="77">
        <f>O39-O40</f>
        <v>295300.87410532776</v>
      </c>
      <c r="P41" s="2"/>
      <c r="Q41" s="77">
        <f>Q39-Q40</f>
        <v>338400.58729127154</v>
      </c>
      <c r="R41" s="2"/>
      <c r="S41" s="77">
        <f>S39-S40</f>
        <v>384586.57529492944</v>
      </c>
      <c r="T41" s="2"/>
      <c r="U41" s="77">
        <f>U39-U40</f>
        <v>434028.70479199087</v>
      </c>
      <c r="V41" s="2"/>
      <c r="W41" s="77">
        <f>W39-W40</f>
        <v>486906.20142141322</v>
      </c>
      <c r="X41" s="2"/>
      <c r="Y41" s="77">
        <f>Y39-Y40</f>
        <v>543293.04739559884</v>
      </c>
      <c r="Z41" s="2"/>
      <c r="AA41" s="77">
        <f>AA39-AA40</f>
        <v>575890.63023933477</v>
      </c>
      <c r="AB41" s="2"/>
      <c r="AC41" s="77">
        <f>AC39-AC40</f>
        <v>610444.06805369491</v>
      </c>
      <c r="AD41" s="2"/>
      <c r="AE41" s="77">
        <f>AE39-AE40</f>
        <v>647070.71213691658</v>
      </c>
      <c r="AF41" s="2"/>
      <c r="AG41" s="77">
        <f>AG39-AG40</f>
        <v>685894.95486513164</v>
      </c>
    </row>
    <row r="42" spans="1:33" ht="14.25" customHeight="1">
      <c r="A42" s="27" t="s">
        <v>103</v>
      </c>
      <c r="B42" s="2"/>
      <c r="C42" s="78">
        <f>IF(C40&gt;0,C41,C41+C37)</f>
        <v>93062.695626887755</v>
      </c>
      <c r="D42" s="14"/>
      <c r="E42" s="78">
        <f>IF(E40&gt;0,E41,E41+E37)</f>
        <v>120746.5300765096</v>
      </c>
      <c r="F42" s="14"/>
      <c r="G42" s="78">
        <f>IF(G40&gt;0,G41,G41+G37)</f>
        <v>150668.23840532708</v>
      </c>
      <c r="H42" s="14"/>
      <c r="I42" s="78">
        <f>IF(I40&gt;0,I41,I41+I37)</f>
        <v>182950.97785227062</v>
      </c>
      <c r="J42" s="14"/>
      <c r="K42" s="78">
        <f>IF(K40&gt;0,K41,K41+K37)</f>
        <v>217724.68246271447</v>
      </c>
      <c r="L42" s="73"/>
      <c r="M42" s="78">
        <f>IF(M40&gt;0,M41,M41+M37)</f>
        <v>255126.43740848586</v>
      </c>
      <c r="N42" s="73"/>
      <c r="O42" s="78">
        <f>IF(O40&gt;0,O41,O41+O37)</f>
        <v>295300.87410532776</v>
      </c>
      <c r="P42" s="2"/>
      <c r="Q42" s="78">
        <f>IF(Q40&gt;0,Q41,Q41+Q37)</f>
        <v>338400.58729127154</v>
      </c>
      <c r="R42" s="2"/>
      <c r="S42" s="78">
        <f>IF(S40&gt;0,S41,S41+S37)</f>
        <v>384586.57529492944</v>
      </c>
      <c r="T42" s="2"/>
      <c r="U42" s="78">
        <f>IF(U40&gt;0,U41,U41+U37)</f>
        <v>434028.70479199087</v>
      </c>
      <c r="V42" s="2"/>
      <c r="W42" s="78">
        <f>IF(W40&gt;0,W41,W41+W37)</f>
        <v>486906.20142141322</v>
      </c>
      <c r="X42" s="2"/>
      <c r="Y42" s="78">
        <f>IF(Y40&gt;0,Y41,Y41+Y37)</f>
        <v>563778.97718904004</v>
      </c>
      <c r="Z42" s="2"/>
      <c r="AA42" s="78">
        <f>IF(AA40&gt;0,AA41,AA41+AA37)</f>
        <v>610775.90332778858</v>
      </c>
      <c r="AB42" s="2"/>
      <c r="AC42" s="78">
        <f>IF(AC40&gt;0,AC41,AC41+AC37)</f>
        <v>647140.0666774679</v>
      </c>
      <c r="AD42" s="2"/>
      <c r="AE42" s="78">
        <f>IF(AE40&gt;0,AE41,AE41+AE37)</f>
        <v>685669.21427016042</v>
      </c>
      <c r="AF42" s="2"/>
      <c r="AG42" s="78">
        <f>IF(AG40&gt;0,AG41,AG41+AG37)</f>
        <v>726492.31950208463</v>
      </c>
    </row>
    <row r="43" spans="1:33" ht="14.25" hidden="1" customHeight="1">
      <c r="A43" s="27" t="s">
        <v>104</v>
      </c>
      <c r="B43" s="2"/>
      <c r="C43" s="14">
        <f>$I$7</f>
        <v>71895</v>
      </c>
      <c r="D43" s="14"/>
      <c r="E43" s="14">
        <f>$I$7</f>
        <v>71895</v>
      </c>
      <c r="F43" s="14"/>
      <c r="G43" s="14">
        <f>$I$7</f>
        <v>71895</v>
      </c>
      <c r="H43" s="14"/>
      <c r="I43" s="14">
        <f>$I$7</f>
        <v>71895</v>
      </c>
      <c r="J43" s="14"/>
      <c r="K43" s="14">
        <f>$I$7</f>
        <v>71895</v>
      </c>
      <c r="L43" s="14"/>
      <c r="M43" s="14">
        <f>$I$7</f>
        <v>71895</v>
      </c>
      <c r="N43" s="14"/>
      <c r="O43" s="14">
        <f>$I$7</f>
        <v>71895</v>
      </c>
      <c r="P43" s="2"/>
      <c r="Q43" s="14">
        <f>$I$7</f>
        <v>71895</v>
      </c>
      <c r="R43" s="2"/>
      <c r="S43" s="14">
        <f>$I$7</f>
        <v>71895</v>
      </c>
      <c r="T43" s="2"/>
      <c r="U43" s="14">
        <f>$I$7</f>
        <v>71895</v>
      </c>
      <c r="V43" s="2"/>
      <c r="W43" s="14">
        <f>$I$7</f>
        <v>71895</v>
      </c>
      <c r="X43" s="2"/>
      <c r="Y43" s="14">
        <f>$I$7</f>
        <v>71895</v>
      </c>
      <c r="Z43" s="2"/>
      <c r="AA43" s="14">
        <f>$I$7</f>
        <v>71895</v>
      </c>
      <c r="AB43" s="2"/>
      <c r="AC43" s="14">
        <f>$I$7</f>
        <v>71895</v>
      </c>
      <c r="AD43" s="2"/>
      <c r="AE43" s="14">
        <f>$I$7</f>
        <v>71895</v>
      </c>
      <c r="AF43" s="2"/>
      <c r="AG43" s="14">
        <f>$I$7</f>
        <v>71895</v>
      </c>
    </row>
    <row r="44" spans="1:33" ht="14.25" customHeight="1">
      <c r="A44" s="27" t="s">
        <v>105</v>
      </c>
      <c r="B44" s="2"/>
      <c r="C44" s="79">
        <f>IF(C40&gt;0,(C41-C43)/$I$7,(C41-C43+C37)/$I$7)</f>
        <v>0.29442514259528135</v>
      </c>
      <c r="D44" s="14"/>
      <c r="E44" s="79">
        <f>IF(E40&gt;0,(E41-E43)/$I$7,(E41-E43+E37)/$I$7)</f>
        <v>0.67948438801738098</v>
      </c>
      <c r="F44" s="14"/>
      <c r="G44" s="79">
        <f>IF(G40&gt;0,(G41-G43)/$I$7,(G41-G43+G37)/$I$7)</f>
        <v>1.0956706086004184</v>
      </c>
      <c r="H44" s="14"/>
      <c r="I44" s="79">
        <f>IF(I40&gt;0,(I41-I43)/$I$7,(I41-I43+I37)/$I$7)</f>
        <v>1.5446968196991533</v>
      </c>
      <c r="J44" s="14"/>
      <c r="K44" s="79">
        <f>IF(K40&gt;0,(K41-K43)/$I$7,(K41-K43+K37)/$I$7)</f>
        <v>2.0283702964422345</v>
      </c>
      <c r="L44" s="79"/>
      <c r="M44" s="79">
        <f>IF(M40&gt;0,(M41-M43)/$I$7,(M41-M43+M37)/$I$7)</f>
        <v>2.5485977802140045</v>
      </c>
      <c r="N44" s="79"/>
      <c r="O44" s="79">
        <f>IF(O40&gt;0,(O41-O43)/$I$7,(O41-O43+O37)/$I$7)</f>
        <v>3.1073909744116803</v>
      </c>
      <c r="P44" s="2"/>
      <c r="Q44" s="79">
        <f>IF(Q40&gt;0,(Q41-Q43)/$I$7,(Q41-Q43+Q37)/$I$7)</f>
        <v>3.7068723456606376</v>
      </c>
      <c r="R44" s="2"/>
      <c r="S44" s="79">
        <f>IF(S40&gt;0,(S41-S43)/$I$7,(S41-S43+S37)/$I$7)</f>
        <v>4.3492812475822999</v>
      </c>
      <c r="T44" s="2"/>
      <c r="U44" s="79">
        <f>IF(U40&gt;0,(U41-U43)/$I$7,(U41-U43+U37)/$I$7)</f>
        <v>5.0369803851726944</v>
      </c>
      <c r="V44" s="2"/>
      <c r="W44" s="79">
        <f>IF(W40&gt;0,(W41-W43)/$I$7,(W41-W43+W37)/$I$7)</f>
        <v>5.7724626388679772</v>
      </c>
      <c r="X44" s="2"/>
      <c r="Y44" s="79">
        <f>IF(Y40&gt;0,(Y41-Y43)/$I$7,(Y41-Y43+Y37)/$I$7)</f>
        <v>6.8416993836711884</v>
      </c>
      <c r="Z44" s="2"/>
      <c r="AA44" s="79">
        <f>IF(AA40&gt;0,(AA41-AA43)/$I$7,(AA41-AA43+AA37)/$I$7)</f>
        <v>7.4953877644869404</v>
      </c>
      <c r="AB44" s="2"/>
      <c r="AC44" s="79">
        <f>IF(AC40&gt;0,(AC41-AC43)/$I$7,(AC41-AC43+AC37)/$I$7)</f>
        <v>8.0011832071419136</v>
      </c>
      <c r="AD44" s="2"/>
      <c r="AE44" s="79">
        <f>IF(AE40&gt;0,(AE41-AE43)/$I$7,(AE41-AE43+AE37)/$I$7)</f>
        <v>8.537091790390992</v>
      </c>
      <c r="AF44" s="2"/>
      <c r="AG44" s="79">
        <f>IF(AG40&gt;0,(AG41-AG43)/$I$7,(AG41-AG43+AG37)/$I$7)</f>
        <v>9.1049074275274311</v>
      </c>
    </row>
    <row r="45" spans="1:33" ht="14.25" customHeight="1">
      <c r="A45" s="2"/>
      <c r="B45" s="2"/>
      <c r="C45" s="80"/>
      <c r="D45" s="14"/>
      <c r="E45" s="80"/>
      <c r="F45" s="14"/>
      <c r="G45" s="80"/>
      <c r="H45" s="14"/>
      <c r="I45" s="80"/>
      <c r="J45" s="14"/>
      <c r="K45" s="80"/>
      <c r="L45" s="80"/>
      <c r="M45" s="80"/>
      <c r="N45" s="80"/>
      <c r="O45" s="80"/>
      <c r="P45" s="2"/>
      <c r="Q45" s="80"/>
      <c r="R45" s="2"/>
      <c r="S45" s="80"/>
      <c r="T45" s="2"/>
      <c r="U45" s="80"/>
      <c r="V45" s="2"/>
      <c r="W45" s="80"/>
      <c r="X45" s="2"/>
      <c r="Y45" s="80"/>
      <c r="Z45" s="2"/>
      <c r="AA45" s="80"/>
      <c r="AB45" s="2"/>
      <c r="AC45" s="80"/>
      <c r="AD45" s="2"/>
      <c r="AE45" s="80"/>
      <c r="AF45" s="2"/>
      <c r="AG45" s="80"/>
    </row>
    <row r="46" spans="1:33" ht="14.25" customHeight="1">
      <c r="A46" s="27" t="s">
        <v>106</v>
      </c>
      <c r="B46" s="2"/>
      <c r="C46" s="82">
        <f>IF(C40&gt;0,0,C37)</f>
        <v>0</v>
      </c>
      <c r="D46" s="83"/>
      <c r="E46" s="82">
        <f>IF(E40&gt;0,0,E37)</f>
        <v>0</v>
      </c>
      <c r="F46" s="83"/>
      <c r="G46" s="82">
        <f>IF(G40&gt;0,0,G37)</f>
        <v>0</v>
      </c>
      <c r="H46" s="83"/>
      <c r="I46" s="82">
        <f>IF(I40&gt;0,0,I37)</f>
        <v>0</v>
      </c>
      <c r="J46" s="83"/>
      <c r="K46" s="82">
        <f>IF(K40&gt;0,0,K37)</f>
        <v>0</v>
      </c>
      <c r="L46" s="83"/>
      <c r="M46" s="82">
        <f>IF(M40&gt;0,0,M37)</f>
        <v>0</v>
      </c>
      <c r="N46" s="83"/>
      <c r="O46" s="82">
        <f>IF(O40&gt;0,0,O37)</f>
        <v>0</v>
      </c>
      <c r="P46" s="2"/>
      <c r="Q46" s="82">
        <f>IF(Q40&gt;0,0,Q37)</f>
        <v>0</v>
      </c>
      <c r="R46" s="2"/>
      <c r="S46" s="82">
        <f>IF(S40&gt;0,0,S37)</f>
        <v>0</v>
      </c>
      <c r="T46" s="2"/>
      <c r="U46" s="82">
        <f>IF(U40&gt;0,0,U37)</f>
        <v>0</v>
      </c>
      <c r="V46" s="2"/>
      <c r="W46" s="82">
        <f>IF(W40&gt;0,0,W37)</f>
        <v>0</v>
      </c>
      <c r="X46" s="2"/>
      <c r="Y46" s="82">
        <f>IF(Y40&gt;0,0,Y37)</f>
        <v>20485.929793441253</v>
      </c>
      <c r="Z46" s="2"/>
      <c r="AA46" s="82">
        <f>IF(AA40&gt;0,0,AA37)</f>
        <v>34885.273088453847</v>
      </c>
      <c r="AB46" s="2"/>
      <c r="AC46" s="82">
        <f>IF(AC40&gt;0,0,AC37)</f>
        <v>36695.99862377299</v>
      </c>
      <c r="AD46" s="2"/>
      <c r="AE46" s="82">
        <f>IF(AE40&gt;0,0,AE37)</f>
        <v>38598.502133243819</v>
      </c>
      <c r="AF46" s="2"/>
      <c r="AG46" s="82">
        <f>IF(AG40&gt;0,0,AG37)</f>
        <v>40597.364636953011</v>
      </c>
    </row>
    <row r="47" spans="1:33" ht="14.25" customHeight="1">
      <c r="A47" s="27" t="s">
        <v>107</v>
      </c>
      <c r="B47" s="2"/>
      <c r="C47" s="84">
        <f>C46/$I$7</f>
        <v>0</v>
      </c>
      <c r="D47" s="85"/>
      <c r="E47" s="84">
        <f>E46/$I$7</f>
        <v>0</v>
      </c>
      <c r="F47" s="85"/>
      <c r="G47" s="84">
        <f>G46/$I$7</f>
        <v>0</v>
      </c>
      <c r="H47" s="85"/>
      <c r="I47" s="84">
        <f>I46/$I$7</f>
        <v>0</v>
      </c>
      <c r="J47" s="85"/>
      <c r="K47" s="84">
        <f>K46/$I$7</f>
        <v>0</v>
      </c>
      <c r="L47" s="84"/>
      <c r="M47" s="84">
        <f>M46/$I$7</f>
        <v>0</v>
      </c>
      <c r="N47" s="84"/>
      <c r="O47" s="84">
        <f>O46/$I$7</f>
        <v>0</v>
      </c>
      <c r="P47" s="2"/>
      <c r="Q47" s="84">
        <f>Q46/$I$7</f>
        <v>0</v>
      </c>
      <c r="R47" s="2"/>
      <c r="S47" s="84">
        <f>S46/$I$7</f>
        <v>0</v>
      </c>
      <c r="T47" s="2"/>
      <c r="U47" s="84">
        <f>U46/$I$7</f>
        <v>0</v>
      </c>
      <c r="V47" s="2"/>
      <c r="W47" s="84">
        <f>W46/$I$7</f>
        <v>0</v>
      </c>
      <c r="X47" s="2"/>
      <c r="Y47" s="84">
        <f>Y46/$I$7</f>
        <v>0.28494234360444054</v>
      </c>
      <c r="Z47" s="2"/>
      <c r="AA47" s="84">
        <f>AA46/$I$7</f>
        <v>0.48522530201618813</v>
      </c>
      <c r="AB47" s="2"/>
      <c r="AC47" s="84">
        <f>AC46/$I$7</f>
        <v>0.51041099692291525</v>
      </c>
      <c r="AD47" s="2"/>
      <c r="AE47" s="84">
        <f>AE46/$I$7</f>
        <v>0.53687324755885413</v>
      </c>
      <c r="AF47" s="2"/>
      <c r="AG47" s="84">
        <f>AG46/$I$7</f>
        <v>0.56467577212536357</v>
      </c>
    </row>
    <row r="48" spans="1:33" ht="14.25" customHeight="1">
      <c r="A48" s="2"/>
      <c r="B48" s="2"/>
      <c r="C48" s="84"/>
      <c r="D48" s="85"/>
      <c r="E48" s="84"/>
      <c r="F48" s="85"/>
      <c r="G48" s="84"/>
      <c r="H48" s="85"/>
      <c r="I48" s="84"/>
      <c r="J48" s="85"/>
      <c r="K48" s="84"/>
      <c r="L48" s="84"/>
      <c r="M48" s="84"/>
      <c r="N48" s="84"/>
      <c r="O48" s="84"/>
      <c r="P48" s="2"/>
      <c r="Q48" s="84"/>
      <c r="R48" s="2"/>
      <c r="S48" s="84"/>
      <c r="T48" s="2"/>
      <c r="U48" s="84"/>
      <c r="V48" s="2"/>
      <c r="W48" s="84"/>
      <c r="X48" s="2"/>
      <c r="Y48" s="84"/>
      <c r="Z48" s="2"/>
      <c r="AA48" s="84"/>
      <c r="AB48" s="2"/>
      <c r="AC48" s="84"/>
      <c r="AD48" s="2"/>
      <c r="AE48" s="84"/>
      <c r="AF48" s="2"/>
      <c r="AG48" s="84"/>
    </row>
    <row r="49" spans="1:33" ht="14.25" customHeight="1">
      <c r="A49" s="27" t="s">
        <v>108</v>
      </c>
      <c r="B49" s="2"/>
      <c r="C49" s="82">
        <f>C41-C43+C46</f>
        <v>21167.695626887755</v>
      </c>
      <c r="D49" s="85"/>
      <c r="E49" s="82">
        <f>E41-E43+E46</f>
        <v>48851.530076509604</v>
      </c>
      <c r="F49" s="83"/>
      <c r="G49" s="82">
        <f>G41-G43+G46</f>
        <v>78773.23840532708</v>
      </c>
      <c r="H49" s="83"/>
      <c r="I49" s="82">
        <f>I41-I43+I46</f>
        <v>111055.97785227062</v>
      </c>
      <c r="J49" s="83"/>
      <c r="K49" s="82">
        <f>K41-K43+K46</f>
        <v>145829.68246271447</v>
      </c>
      <c r="L49" s="83"/>
      <c r="M49" s="82">
        <f>M41-M43+M46</f>
        <v>183231.43740848586</v>
      </c>
      <c r="N49" s="83"/>
      <c r="O49" s="82">
        <f>O41-O43+O46</f>
        <v>223405.87410532776</v>
      </c>
      <c r="P49" s="2"/>
      <c r="Q49" s="82">
        <f>Q41-Q43+Q46</f>
        <v>266505.58729127154</v>
      </c>
      <c r="R49" s="2"/>
      <c r="S49" s="82">
        <f>S41-S43+S46</f>
        <v>312691.57529492944</v>
      </c>
      <c r="T49" s="2"/>
      <c r="U49" s="82">
        <f>U41-U43+U46</f>
        <v>362133.70479199087</v>
      </c>
      <c r="V49" s="2"/>
      <c r="W49" s="82">
        <f>W41-W43+W46</f>
        <v>415011.20142141322</v>
      </c>
      <c r="X49" s="2"/>
      <c r="Y49" s="82">
        <f>Y41-Y43+Y46</f>
        <v>491883.9771890401</v>
      </c>
      <c r="Z49" s="2"/>
      <c r="AA49" s="82">
        <f>AA41-AA43+AA46</f>
        <v>538880.90332778858</v>
      </c>
      <c r="AB49" s="2"/>
      <c r="AC49" s="82">
        <f>AC41-AC43+AC46</f>
        <v>575245.0666774679</v>
      </c>
      <c r="AD49" s="2"/>
      <c r="AE49" s="82">
        <f>AE41-AE43+AE46</f>
        <v>613774.21427016042</v>
      </c>
      <c r="AF49" s="2"/>
      <c r="AG49" s="82">
        <f>AG41-AG43+AG46</f>
        <v>654597.31950208463</v>
      </c>
    </row>
    <row r="50" spans="1:33" ht="14.25" customHeight="1">
      <c r="A50" s="27" t="s">
        <v>109</v>
      </c>
      <c r="B50" s="2"/>
      <c r="C50" s="84">
        <f>C49/$I$7</f>
        <v>0.29442514259528135</v>
      </c>
      <c r="D50" s="85"/>
      <c r="E50" s="84">
        <f>E49/$I$7</f>
        <v>0.67948438801738098</v>
      </c>
      <c r="F50" s="85"/>
      <c r="G50" s="84">
        <f>G49/$I$7</f>
        <v>1.0956706086004184</v>
      </c>
      <c r="H50" s="85"/>
      <c r="I50" s="84">
        <f>I49/$I$7</f>
        <v>1.5446968196991533</v>
      </c>
      <c r="J50" s="85"/>
      <c r="K50" s="84">
        <f>K49/$I$7</f>
        <v>2.0283702964422345</v>
      </c>
      <c r="L50" s="84"/>
      <c r="M50" s="84">
        <f>M49/$I$7</f>
        <v>2.5485977802140045</v>
      </c>
      <c r="N50" s="84"/>
      <c r="O50" s="84">
        <f>O49/$I$7</f>
        <v>3.1073909744116803</v>
      </c>
      <c r="P50" s="2"/>
      <c r="Q50" s="84">
        <f>Q49/$I$7</f>
        <v>3.7068723456606376</v>
      </c>
      <c r="R50" s="2"/>
      <c r="S50" s="84">
        <f>S49/$I$7</f>
        <v>4.3492812475822999</v>
      </c>
      <c r="T50" s="2"/>
      <c r="U50" s="84">
        <f>U49/$I$7</f>
        <v>5.0369803851726944</v>
      </c>
      <c r="V50" s="2"/>
      <c r="W50" s="84">
        <f>W49/$I$7</f>
        <v>5.7724626388679772</v>
      </c>
      <c r="X50" s="2"/>
      <c r="Y50" s="84">
        <f>Y49/$I$7</f>
        <v>6.8416993836711884</v>
      </c>
      <c r="Z50" s="2"/>
      <c r="AA50" s="84">
        <f>AA49/$I$7</f>
        <v>7.4953877644869404</v>
      </c>
      <c r="AB50" s="2"/>
      <c r="AC50" s="84">
        <f>AC49/$I$7</f>
        <v>8.0011832071419136</v>
      </c>
      <c r="AD50" s="2"/>
      <c r="AE50" s="84">
        <f>AE49/$I$7</f>
        <v>8.537091790390992</v>
      </c>
      <c r="AF50" s="2"/>
      <c r="AG50" s="84">
        <f>AG49/$I$7</f>
        <v>9.1049074275274311</v>
      </c>
    </row>
    <row r="51" spans="1:33" ht="14.25" customHeight="1">
      <c r="A51" s="2"/>
      <c r="B51" s="2"/>
      <c r="C51" s="86"/>
      <c r="D51" s="36"/>
      <c r="E51" s="86"/>
      <c r="F51" s="36"/>
      <c r="G51" s="86"/>
      <c r="H51" s="36"/>
      <c r="I51" s="86"/>
      <c r="J51" s="36"/>
      <c r="K51" s="86"/>
      <c r="L51" s="86"/>
      <c r="M51" s="86"/>
      <c r="N51" s="86"/>
      <c r="O51" s="86"/>
      <c r="P51" s="2"/>
      <c r="Q51" s="86"/>
      <c r="R51" s="2"/>
      <c r="S51" s="86"/>
      <c r="T51" s="2"/>
      <c r="U51" s="86"/>
      <c r="V51" s="2"/>
      <c r="W51" s="86"/>
      <c r="X51" s="2"/>
      <c r="Y51" s="86"/>
      <c r="Z51" s="2"/>
      <c r="AA51" s="86"/>
      <c r="AB51" s="2"/>
      <c r="AC51" s="86"/>
      <c r="AD51" s="2"/>
      <c r="AE51" s="86"/>
      <c r="AF51" s="2"/>
      <c r="AG51" s="86"/>
    </row>
    <row r="52" spans="1:33" ht="15.75" customHeight="1">
      <c r="A52" s="2"/>
      <c r="B52" s="88"/>
      <c r="C52" s="87"/>
      <c r="D52" s="88"/>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ht="19.5" customHeight="1">
      <c r="A53" s="131"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18"/>
      <c r="C53" s="118"/>
      <c r="D53" s="118"/>
      <c r="E53" s="118"/>
      <c r="F53" s="118"/>
      <c r="G53" s="118"/>
      <c r="H53" s="118"/>
      <c r="I53" s="118"/>
      <c r="J53" s="118"/>
      <c r="K53" s="118"/>
      <c r="L53" s="89"/>
      <c r="M53" s="2"/>
      <c r="N53" s="2"/>
      <c r="O53" s="2"/>
      <c r="P53" s="2"/>
      <c r="Q53" s="2"/>
      <c r="R53" s="2"/>
      <c r="S53" s="2"/>
      <c r="T53" s="2"/>
      <c r="U53" s="2"/>
      <c r="V53" s="2"/>
      <c r="W53" s="2"/>
      <c r="X53" s="2"/>
      <c r="Y53" s="2"/>
      <c r="Z53" s="2"/>
      <c r="AA53" s="2"/>
      <c r="AB53" s="2"/>
      <c r="AC53" s="2"/>
      <c r="AD53" s="2"/>
      <c r="AE53" s="2"/>
      <c r="AF53" s="2"/>
      <c r="AG53" s="2"/>
    </row>
    <row r="54" spans="1:33" ht="14.25" customHeight="1">
      <c r="A54" s="119"/>
      <c r="B54" s="120"/>
      <c r="C54" s="120"/>
      <c r="D54" s="120"/>
      <c r="E54" s="120"/>
      <c r="F54" s="120"/>
      <c r="G54" s="120"/>
      <c r="H54" s="120"/>
      <c r="I54" s="120"/>
      <c r="J54" s="120"/>
      <c r="K54" s="120"/>
      <c r="L54" s="89"/>
      <c r="M54" s="2"/>
      <c r="N54" s="2"/>
      <c r="O54" s="2"/>
      <c r="P54" s="2"/>
      <c r="Q54" s="2"/>
      <c r="R54" s="2"/>
      <c r="S54" s="2"/>
      <c r="T54" s="2"/>
      <c r="U54" s="2"/>
      <c r="V54" s="2"/>
      <c r="W54" s="2"/>
      <c r="X54" s="2"/>
      <c r="Y54" s="2"/>
      <c r="Z54" s="2"/>
      <c r="AA54" s="2"/>
      <c r="AB54" s="2"/>
      <c r="AC54" s="2"/>
      <c r="AD54" s="2"/>
      <c r="AE54" s="2"/>
      <c r="AF54" s="2"/>
      <c r="AG54" s="2"/>
    </row>
    <row r="55" spans="1:33" ht="14.25" customHeight="1">
      <c r="A55" s="119"/>
      <c r="B55" s="120"/>
      <c r="C55" s="120"/>
      <c r="D55" s="120"/>
      <c r="E55" s="120"/>
      <c r="F55" s="120"/>
      <c r="G55" s="120"/>
      <c r="H55" s="120"/>
      <c r="I55" s="120"/>
      <c r="J55" s="120"/>
      <c r="K55" s="120"/>
      <c r="L55" s="89"/>
      <c r="M55" s="2"/>
      <c r="N55" s="2"/>
      <c r="O55" s="2"/>
      <c r="P55" s="2"/>
      <c r="Q55" s="2"/>
      <c r="R55" s="2"/>
      <c r="S55" s="2"/>
      <c r="T55" s="2"/>
      <c r="U55" s="2"/>
      <c r="V55" s="2"/>
      <c r="W55" s="2"/>
      <c r="X55" s="2"/>
      <c r="Y55" s="2"/>
      <c r="Z55" s="2"/>
      <c r="AA55" s="2"/>
      <c r="AB55" s="2"/>
      <c r="AC55" s="2"/>
      <c r="AD55" s="2"/>
      <c r="AE55" s="2"/>
      <c r="AF55" s="2"/>
      <c r="AG55" s="2"/>
    </row>
    <row r="56" spans="1:33" ht="14.25" customHeight="1">
      <c r="A56" s="90"/>
      <c r="B56" s="90"/>
      <c r="C56" s="90"/>
      <c r="D56" s="90"/>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row>
    <row r="57" spans="1:33" ht="14.25" customHeight="1">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row>
  </sheetData>
  <mergeCells count="1">
    <mergeCell ref="A53:K5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heetViews>
  <sheetFormatPr defaultColWidth="14.44140625" defaultRowHeight="15" customHeight="1"/>
  <cols>
    <col min="1" max="1" width="16.44140625" customWidth="1"/>
    <col min="2" max="2" width="20.44140625" customWidth="1"/>
    <col min="3" max="3" width="17.44140625" customWidth="1"/>
    <col min="4" max="4" width="8.33203125" customWidth="1"/>
    <col min="5" max="5" width="21.5546875" customWidth="1"/>
    <col min="6" max="6" width="8.33203125" customWidth="1"/>
    <col min="7" max="7" width="17.44140625" customWidth="1"/>
    <col min="8" max="8" width="8" customWidth="1"/>
    <col min="9" max="9" width="15.5546875" customWidth="1"/>
    <col min="10" max="10" width="8" customWidth="1"/>
    <col min="11" max="11" width="24.5546875" customWidth="1"/>
    <col min="12" max="14" width="9.109375" customWidth="1"/>
  </cols>
  <sheetData>
    <row r="1" spans="1:14" ht="14.25" customHeight="1">
      <c r="A1" s="1" t="s">
        <v>116</v>
      </c>
      <c r="B1" s="2"/>
      <c r="C1" s="45" t="str">
        <f>'Cash-Flow'!C1</f>
        <v>9428 E. Lehigh Ave.</v>
      </c>
      <c r="D1" s="2"/>
      <c r="E1" s="2"/>
      <c r="F1" s="2"/>
      <c r="G1" s="2"/>
      <c r="H1" s="2"/>
      <c r="I1" s="2"/>
      <c r="J1" s="2"/>
      <c r="K1" s="2"/>
      <c r="L1" s="2"/>
      <c r="M1" s="2"/>
      <c r="N1" s="2"/>
    </row>
    <row r="2" spans="1:14" ht="14.25" customHeight="1">
      <c r="A2" s="2"/>
      <c r="B2" s="2"/>
      <c r="C2" s="2"/>
      <c r="D2" s="2"/>
      <c r="E2" s="23" t="s">
        <v>117</v>
      </c>
      <c r="F2" s="24"/>
      <c r="G2" s="23" t="s">
        <v>117</v>
      </c>
      <c r="H2" s="24"/>
      <c r="I2" s="23" t="s">
        <v>117</v>
      </c>
      <c r="J2" s="24"/>
      <c r="K2" s="23" t="s">
        <v>117</v>
      </c>
      <c r="L2" s="2"/>
      <c r="M2" s="2"/>
      <c r="N2" s="2"/>
    </row>
    <row r="3" spans="1:14" ht="24" customHeight="1">
      <c r="A3" s="132" t="s">
        <v>118</v>
      </c>
      <c r="B3" s="2"/>
      <c r="C3" s="134" t="s">
        <v>119</v>
      </c>
      <c r="D3" s="2"/>
      <c r="E3" s="136" t="s">
        <v>120</v>
      </c>
      <c r="F3" s="2"/>
      <c r="G3" s="136" t="s">
        <v>121</v>
      </c>
      <c r="H3" s="2"/>
      <c r="I3" s="136" t="s">
        <v>122</v>
      </c>
      <c r="J3" s="2"/>
      <c r="K3" s="137" t="s">
        <v>123</v>
      </c>
      <c r="L3" s="2"/>
      <c r="M3" s="2"/>
      <c r="N3" s="2"/>
    </row>
    <row r="4" spans="1:14" ht="19.5" customHeight="1">
      <c r="A4" s="133"/>
      <c r="B4" s="2"/>
      <c r="C4" s="135"/>
      <c r="D4" s="2"/>
      <c r="E4" s="135"/>
      <c r="F4" s="2"/>
      <c r="G4" s="135"/>
      <c r="H4" s="2"/>
      <c r="I4" s="135"/>
      <c r="J4" s="2"/>
      <c r="K4" s="135"/>
      <c r="L4" s="2"/>
      <c r="M4" s="2"/>
      <c r="N4" s="2"/>
    </row>
    <row r="5" spans="1:14" ht="7.5" customHeight="1">
      <c r="A5" s="2"/>
      <c r="B5" s="2"/>
      <c r="C5" s="2"/>
      <c r="D5" s="2"/>
      <c r="E5" s="2"/>
      <c r="F5" s="2"/>
      <c r="G5" s="2"/>
      <c r="H5" s="2"/>
      <c r="I5" s="2"/>
      <c r="J5" s="2"/>
      <c r="K5" s="2"/>
      <c r="L5" s="2"/>
      <c r="M5" s="2"/>
      <c r="N5" s="2"/>
    </row>
    <row r="6" spans="1:14" ht="14.25" customHeight="1">
      <c r="A6" s="4" t="s">
        <v>2</v>
      </c>
      <c r="B6" s="2"/>
      <c r="C6" s="2"/>
      <c r="D6" s="2"/>
      <c r="E6" s="2"/>
      <c r="F6" s="2"/>
      <c r="G6" s="2"/>
      <c r="H6" s="2"/>
      <c r="I6" s="2"/>
      <c r="J6" s="2"/>
      <c r="K6" s="2"/>
      <c r="L6" s="2"/>
      <c r="M6" s="2"/>
      <c r="N6" s="2"/>
    </row>
    <row r="7" spans="1:14" ht="14.25" customHeight="1">
      <c r="A7" s="6" t="s">
        <v>3</v>
      </c>
      <c r="B7" s="2"/>
      <c r="C7" s="34">
        <f>Inputs!B15</f>
        <v>270000</v>
      </c>
      <c r="D7" s="2"/>
      <c r="E7" s="101">
        <f>Inputs!B15*(1-Inputs!E60)</f>
        <v>256500</v>
      </c>
      <c r="F7" s="2"/>
      <c r="G7" s="34">
        <f>Inputs!B15</f>
        <v>270000</v>
      </c>
      <c r="H7" s="2"/>
      <c r="I7" s="34">
        <f>Inputs!B15</f>
        <v>270000</v>
      </c>
      <c r="J7" s="2"/>
      <c r="K7" s="34">
        <f t="shared" ref="K7:K13" si="0">E7</f>
        <v>256500</v>
      </c>
      <c r="L7" s="2"/>
      <c r="M7" s="2"/>
      <c r="N7" s="2"/>
    </row>
    <row r="8" spans="1:14" ht="14.25" customHeight="1">
      <c r="A8" s="6" t="s">
        <v>5</v>
      </c>
      <c r="B8" s="2"/>
      <c r="C8" s="34">
        <f>Inputs!B19</f>
        <v>202500</v>
      </c>
      <c r="D8" s="2"/>
      <c r="E8" s="101">
        <f>E7-E9</f>
        <v>192375</v>
      </c>
      <c r="F8" s="2"/>
      <c r="G8" s="34">
        <f>Inputs!B19</f>
        <v>202500</v>
      </c>
      <c r="H8" s="2"/>
      <c r="I8" s="34">
        <f>Inputs!B19</f>
        <v>202500</v>
      </c>
      <c r="J8" s="2"/>
      <c r="K8" s="34">
        <f t="shared" si="0"/>
        <v>192375</v>
      </c>
      <c r="L8" s="2"/>
      <c r="M8" s="2"/>
      <c r="N8" s="2"/>
    </row>
    <row r="9" spans="1:14" ht="14.25" customHeight="1">
      <c r="A9" s="6" t="s">
        <v>6</v>
      </c>
      <c r="B9" s="2"/>
      <c r="C9" s="34">
        <f>Inputs!B18</f>
        <v>67500</v>
      </c>
      <c r="D9" s="2"/>
      <c r="E9" s="101">
        <f>E7*Inputs!B13</f>
        <v>64125</v>
      </c>
      <c r="F9" s="2"/>
      <c r="G9" s="34">
        <f>Inputs!B18</f>
        <v>67500</v>
      </c>
      <c r="H9" s="2"/>
      <c r="I9" s="34">
        <f>Inputs!B18</f>
        <v>67500</v>
      </c>
      <c r="J9" s="2"/>
      <c r="K9" s="34">
        <f t="shared" si="0"/>
        <v>64125</v>
      </c>
      <c r="L9" s="2"/>
      <c r="M9" s="2"/>
      <c r="N9" s="2"/>
    </row>
    <row r="10" spans="1:14" ht="14.25" customHeight="1">
      <c r="A10" s="6" t="s">
        <v>124</v>
      </c>
      <c r="B10" s="2"/>
      <c r="C10" s="34">
        <f>Inputs!B16</f>
        <v>2000</v>
      </c>
      <c r="D10" s="2"/>
      <c r="E10" s="101">
        <f>Inputs!B16</f>
        <v>2000</v>
      </c>
      <c r="F10" s="2"/>
      <c r="G10" s="34">
        <f>Inputs!B16</f>
        <v>2000</v>
      </c>
      <c r="H10" s="2"/>
      <c r="I10" s="34">
        <f>Inputs!B16</f>
        <v>2000</v>
      </c>
      <c r="J10" s="2"/>
      <c r="K10" s="34">
        <f t="shared" si="0"/>
        <v>2000</v>
      </c>
      <c r="L10" s="2"/>
      <c r="M10" s="2"/>
      <c r="N10" s="2"/>
    </row>
    <row r="11" spans="1:14" ht="14.25" customHeight="1">
      <c r="A11" s="6" t="s">
        <v>125</v>
      </c>
      <c r="B11" s="2"/>
      <c r="C11" s="34">
        <f>Inputs!B17</f>
        <v>1395</v>
      </c>
      <c r="D11" s="2"/>
      <c r="E11" s="102">
        <f>IF(E8&lt;65000, 0, IF(E8&lt;100000,E8*0.02+1600,IF(E8&lt;250000,E8*0.015+1600,IF(E8&lt;400000,E8*0.01+1600,E8*0.009+1600))))</f>
        <v>4485.625</v>
      </c>
      <c r="F11" s="2"/>
      <c r="G11" s="34">
        <f>Inputs!B17</f>
        <v>1395</v>
      </c>
      <c r="H11" s="2"/>
      <c r="I11" s="34">
        <f>Inputs!B17</f>
        <v>1395</v>
      </c>
      <c r="J11" s="2"/>
      <c r="K11" s="34">
        <f t="shared" si="0"/>
        <v>4485.625</v>
      </c>
      <c r="L11" s="2"/>
      <c r="M11" s="2"/>
      <c r="N11" s="2"/>
    </row>
    <row r="12" spans="1:14" ht="14.25" customHeight="1">
      <c r="A12" s="6" t="s">
        <v>8</v>
      </c>
      <c r="B12" s="2"/>
      <c r="C12" s="34">
        <f>Inputs!B21</f>
        <v>1000</v>
      </c>
      <c r="D12" s="2"/>
      <c r="E12" s="101">
        <f>Inputs!B21</f>
        <v>1000</v>
      </c>
      <c r="F12" s="2"/>
      <c r="G12" s="34">
        <f>Inputs!B21</f>
        <v>1000</v>
      </c>
      <c r="H12" s="2"/>
      <c r="I12" s="34">
        <f>Inputs!B21</f>
        <v>1000</v>
      </c>
      <c r="J12" s="2"/>
      <c r="K12" s="34">
        <f t="shared" si="0"/>
        <v>1000</v>
      </c>
      <c r="L12" s="2"/>
      <c r="M12" s="2"/>
      <c r="N12" s="2"/>
    </row>
    <row r="13" spans="1:14" ht="14.25" customHeight="1">
      <c r="A13" s="4" t="s">
        <v>9</v>
      </c>
      <c r="B13" s="2"/>
      <c r="C13" s="103">
        <f>Inputs!B22</f>
        <v>71895</v>
      </c>
      <c r="D13" s="2"/>
      <c r="E13" s="103">
        <f>E9+E10+E11+E12</f>
        <v>71610.625</v>
      </c>
      <c r="F13" s="2"/>
      <c r="G13" s="103">
        <f>Inputs!B22</f>
        <v>71895</v>
      </c>
      <c r="H13" s="2"/>
      <c r="I13" s="103">
        <f>Inputs!B22</f>
        <v>71895</v>
      </c>
      <c r="J13" s="2"/>
      <c r="K13" s="103">
        <f t="shared" si="0"/>
        <v>71610.625</v>
      </c>
      <c r="L13" s="2"/>
      <c r="M13" s="2"/>
      <c r="N13" s="2"/>
    </row>
    <row r="14" spans="1:14" ht="14.25" customHeight="1">
      <c r="A14" s="2"/>
      <c r="B14" s="2"/>
      <c r="C14" s="2"/>
      <c r="D14" s="2"/>
      <c r="E14" s="2"/>
      <c r="F14" s="2"/>
      <c r="G14" s="2"/>
      <c r="H14" s="2"/>
      <c r="I14" s="2"/>
      <c r="J14" s="2"/>
      <c r="K14" s="2"/>
      <c r="L14" s="2"/>
      <c r="M14" s="2"/>
      <c r="N14" s="2"/>
    </row>
    <row r="15" spans="1:14" ht="14.25" customHeight="1">
      <c r="A15" s="4" t="s">
        <v>10</v>
      </c>
      <c r="B15" s="2"/>
      <c r="C15" s="2"/>
      <c r="D15" s="2"/>
      <c r="E15" s="2"/>
      <c r="F15" s="2"/>
      <c r="G15" s="2"/>
      <c r="H15" s="2"/>
      <c r="I15" s="2"/>
      <c r="J15" s="2"/>
      <c r="K15" s="2"/>
      <c r="L15" s="2"/>
      <c r="M15" s="2"/>
      <c r="N15" s="2"/>
    </row>
    <row r="16" spans="1:14" ht="14.25" customHeight="1">
      <c r="A16" s="13" t="s">
        <v>11</v>
      </c>
      <c r="B16" s="2"/>
      <c r="C16" s="2"/>
      <c r="D16" s="2"/>
      <c r="E16" s="2"/>
      <c r="F16" s="2"/>
      <c r="G16" s="2"/>
      <c r="H16" s="2"/>
      <c r="I16" s="2"/>
      <c r="J16" s="2"/>
      <c r="K16" s="2"/>
      <c r="L16" s="2"/>
      <c r="M16" s="2"/>
      <c r="N16" s="2"/>
    </row>
    <row r="17" spans="1:14" ht="14.25" customHeight="1">
      <c r="A17" s="6" t="s">
        <v>12</v>
      </c>
      <c r="B17" s="2"/>
      <c r="C17" s="34">
        <f>Inputs!B33*12</f>
        <v>24600</v>
      </c>
      <c r="D17" s="2"/>
      <c r="E17" s="34">
        <f t="shared" ref="E17:E19" si="1">C17</f>
        <v>24600</v>
      </c>
      <c r="F17" s="2"/>
      <c r="G17" s="101">
        <f>C17*(1+Inputs!E62)</f>
        <v>25830</v>
      </c>
      <c r="H17" s="2"/>
      <c r="I17" s="34">
        <f t="shared" ref="I17:I18" si="2">C17</f>
        <v>24600</v>
      </c>
      <c r="J17" s="2"/>
      <c r="K17" s="101">
        <f t="shared" ref="K17:K18" si="3">G17</f>
        <v>25830</v>
      </c>
      <c r="L17" s="2"/>
      <c r="M17" s="2"/>
      <c r="N17" s="2"/>
    </row>
    <row r="18" spans="1:14" ht="14.25" customHeight="1">
      <c r="A18" s="6" t="s">
        <v>14</v>
      </c>
      <c r="B18" s="2"/>
      <c r="C18" s="104">
        <f>-C17*Inputs!B35</f>
        <v>-1230</v>
      </c>
      <c r="D18" s="2"/>
      <c r="E18" s="34">
        <f t="shared" si="1"/>
        <v>-1230</v>
      </c>
      <c r="F18" s="2"/>
      <c r="G18" s="34">
        <f>-G17*Inputs!B35</f>
        <v>-1291.5</v>
      </c>
      <c r="H18" s="2"/>
      <c r="I18" s="34">
        <f t="shared" si="2"/>
        <v>-1230</v>
      </c>
      <c r="J18" s="2"/>
      <c r="K18" s="34">
        <f t="shared" si="3"/>
        <v>-1291.5</v>
      </c>
      <c r="L18" s="2"/>
      <c r="M18" s="2"/>
      <c r="N18" s="2"/>
    </row>
    <row r="19" spans="1:14" ht="14.25" customHeight="1">
      <c r="A19" s="4" t="s">
        <v>15</v>
      </c>
      <c r="B19" s="2"/>
      <c r="C19" s="105">
        <f>SUM(C17:C18)</f>
        <v>23370</v>
      </c>
      <c r="D19" s="2"/>
      <c r="E19" s="106">
        <f t="shared" si="1"/>
        <v>23370</v>
      </c>
      <c r="F19" s="2"/>
      <c r="G19" s="106">
        <f>SUM(G17:G18)</f>
        <v>24538.5</v>
      </c>
      <c r="H19" s="2"/>
      <c r="I19" s="106">
        <f>SUM(I17:I18)</f>
        <v>23370</v>
      </c>
      <c r="J19" s="2"/>
      <c r="K19" s="106">
        <f>SUM(K17:K18)</f>
        <v>24538.5</v>
      </c>
      <c r="L19" s="2"/>
      <c r="M19" s="2"/>
      <c r="N19" s="2"/>
    </row>
    <row r="20" spans="1:14" ht="14.25" customHeight="1">
      <c r="A20" s="6"/>
      <c r="B20" s="2"/>
      <c r="C20" s="34"/>
      <c r="D20" s="2"/>
      <c r="E20" s="34"/>
      <c r="F20" s="2"/>
      <c r="G20" s="101"/>
      <c r="H20" s="2"/>
      <c r="I20" s="2"/>
      <c r="J20" s="2"/>
      <c r="K20" s="2"/>
      <c r="L20" s="2"/>
      <c r="M20" s="2"/>
      <c r="N20" s="2"/>
    </row>
    <row r="21" spans="1:14" ht="14.25" customHeight="1">
      <c r="A21" s="13" t="s">
        <v>16</v>
      </c>
      <c r="B21" s="2"/>
      <c r="C21" s="34"/>
      <c r="D21" s="2"/>
      <c r="E21" s="34"/>
      <c r="F21" s="2"/>
      <c r="G21" s="101"/>
      <c r="H21" s="2"/>
      <c r="I21" s="2"/>
      <c r="J21" s="2"/>
      <c r="K21" s="2"/>
      <c r="L21" s="2"/>
      <c r="M21" s="2"/>
      <c r="N21" s="2"/>
    </row>
    <row r="22" spans="1:14" ht="14.25" customHeight="1">
      <c r="A22" s="6" t="s">
        <v>18</v>
      </c>
      <c r="B22" s="2"/>
      <c r="C22" s="34">
        <f>Inputs!B42</f>
        <v>1246</v>
      </c>
      <c r="D22" s="2"/>
      <c r="E22" s="34">
        <f t="shared" ref="E22:E37" si="4">C22</f>
        <v>1246</v>
      </c>
      <c r="F22" s="2"/>
      <c r="G22" s="34">
        <f t="shared" ref="G22:G37" si="5">E22</f>
        <v>1246</v>
      </c>
      <c r="H22" s="34"/>
      <c r="I22" s="34">
        <f>Inputs!B42</f>
        <v>1246</v>
      </c>
      <c r="J22" s="34"/>
      <c r="K22" s="34">
        <f t="shared" ref="K22:K36" si="6">I22</f>
        <v>1246</v>
      </c>
      <c r="L22" s="2"/>
      <c r="M22" s="2"/>
      <c r="N22" s="2"/>
    </row>
    <row r="23" spans="1:14" ht="14.25" customHeight="1">
      <c r="A23" s="6" t="s">
        <v>27</v>
      </c>
      <c r="B23" s="2"/>
      <c r="C23" s="34">
        <f>Inputs!B43</f>
        <v>300</v>
      </c>
      <c r="D23" s="2"/>
      <c r="E23" s="34">
        <f t="shared" si="4"/>
        <v>300</v>
      </c>
      <c r="F23" s="2"/>
      <c r="G23" s="34">
        <f t="shared" si="5"/>
        <v>300</v>
      </c>
      <c r="H23" s="34"/>
      <c r="I23" s="34">
        <f>Inputs!B43*(1-Inputs!$E$61)</f>
        <v>285</v>
      </c>
      <c r="J23" s="34"/>
      <c r="K23" s="34">
        <f t="shared" si="6"/>
        <v>285</v>
      </c>
      <c r="L23" s="2"/>
      <c r="M23" s="2"/>
      <c r="N23" s="2"/>
    </row>
    <row r="24" spans="1:14" ht="14.25" customHeight="1">
      <c r="A24" s="6" t="s">
        <v>38</v>
      </c>
      <c r="B24" s="2"/>
      <c r="C24" s="34">
        <f>Inputs!B44</f>
        <v>0</v>
      </c>
      <c r="D24" s="2"/>
      <c r="E24" s="34">
        <f t="shared" si="4"/>
        <v>0</v>
      </c>
      <c r="F24" s="2"/>
      <c r="G24" s="34">
        <f t="shared" si="5"/>
        <v>0</v>
      </c>
      <c r="H24" s="34"/>
      <c r="I24" s="34">
        <f>Inputs!B44*(1-Inputs!$E$61)</f>
        <v>0</v>
      </c>
      <c r="J24" s="34"/>
      <c r="K24" s="34">
        <f t="shared" si="6"/>
        <v>0</v>
      </c>
      <c r="L24" s="2"/>
      <c r="M24" s="2"/>
      <c r="N24" s="2"/>
    </row>
    <row r="25" spans="1:14" ht="14.25" customHeight="1">
      <c r="A25" s="6" t="s">
        <v>39</v>
      </c>
      <c r="B25" s="2"/>
      <c r="C25" s="34">
        <f>Inputs!B45</f>
        <v>1230</v>
      </c>
      <c r="D25" s="2"/>
      <c r="E25" s="34">
        <f t="shared" si="4"/>
        <v>1230</v>
      </c>
      <c r="F25" s="2"/>
      <c r="G25" s="34">
        <f t="shared" si="5"/>
        <v>1230</v>
      </c>
      <c r="H25" s="34"/>
      <c r="I25" s="34">
        <f>Inputs!B45*(1-Inputs!$E$61)</f>
        <v>1168.5</v>
      </c>
      <c r="J25" s="34"/>
      <c r="K25" s="34">
        <f t="shared" si="6"/>
        <v>1168.5</v>
      </c>
      <c r="L25" s="2"/>
      <c r="M25" s="2"/>
      <c r="N25" s="2"/>
    </row>
    <row r="26" spans="1:14" ht="14.25" customHeight="1">
      <c r="A26" s="6" t="s">
        <v>41</v>
      </c>
      <c r="B26" s="2"/>
      <c r="C26" s="34">
        <f>Inputs!B46</f>
        <v>0</v>
      </c>
      <c r="D26" s="2"/>
      <c r="E26" s="34">
        <f t="shared" si="4"/>
        <v>0</v>
      </c>
      <c r="F26" s="2"/>
      <c r="G26" s="34">
        <f t="shared" si="5"/>
        <v>0</v>
      </c>
      <c r="H26" s="34"/>
      <c r="I26" s="34">
        <f>Inputs!B46*(1-Inputs!$E$61)</f>
        <v>0</v>
      </c>
      <c r="J26" s="34"/>
      <c r="K26" s="34">
        <f t="shared" si="6"/>
        <v>0</v>
      </c>
      <c r="L26" s="2"/>
      <c r="M26" s="2"/>
      <c r="N26" s="2"/>
    </row>
    <row r="27" spans="1:14" ht="14.25" customHeight="1">
      <c r="A27" s="6" t="s">
        <v>42</v>
      </c>
      <c r="B27" s="2"/>
      <c r="C27" s="34">
        <f>Inputs!B47</f>
        <v>0</v>
      </c>
      <c r="D27" s="2"/>
      <c r="E27" s="34">
        <f t="shared" si="4"/>
        <v>0</v>
      </c>
      <c r="F27" s="2"/>
      <c r="G27" s="34">
        <f t="shared" si="5"/>
        <v>0</v>
      </c>
      <c r="H27" s="34"/>
      <c r="I27" s="34">
        <f>Inputs!B47*(1-Inputs!$E$61)</f>
        <v>0</v>
      </c>
      <c r="J27" s="34"/>
      <c r="K27" s="34">
        <f t="shared" si="6"/>
        <v>0</v>
      </c>
      <c r="L27" s="2"/>
      <c r="M27" s="2"/>
      <c r="N27" s="2"/>
    </row>
    <row r="28" spans="1:14" ht="14.25" customHeight="1">
      <c r="A28" s="6" t="s">
        <v>44</v>
      </c>
      <c r="B28" s="2"/>
      <c r="C28" s="34">
        <f>Inputs!B48</f>
        <v>0</v>
      </c>
      <c r="D28" s="2"/>
      <c r="E28" s="34">
        <f t="shared" si="4"/>
        <v>0</v>
      </c>
      <c r="F28" s="2"/>
      <c r="G28" s="34">
        <f t="shared" si="5"/>
        <v>0</v>
      </c>
      <c r="H28" s="34"/>
      <c r="I28" s="34">
        <f>Inputs!B48*(1-Inputs!$E$61)</f>
        <v>0</v>
      </c>
      <c r="J28" s="34"/>
      <c r="K28" s="34">
        <f t="shared" si="6"/>
        <v>0</v>
      </c>
      <c r="L28" s="2"/>
      <c r="M28" s="2"/>
      <c r="N28" s="2"/>
    </row>
    <row r="29" spans="1:14" ht="14.25" customHeight="1">
      <c r="A29" s="6" t="s">
        <v>47</v>
      </c>
      <c r="B29" s="2"/>
      <c r="C29" s="34">
        <f>Inputs!B49</f>
        <v>0</v>
      </c>
      <c r="D29" s="2"/>
      <c r="E29" s="34">
        <f t="shared" si="4"/>
        <v>0</v>
      </c>
      <c r="F29" s="2"/>
      <c r="G29" s="34">
        <f t="shared" si="5"/>
        <v>0</v>
      </c>
      <c r="H29" s="34"/>
      <c r="I29" s="34">
        <f>Inputs!B49*(1-Inputs!$E$61)</f>
        <v>0</v>
      </c>
      <c r="J29" s="34"/>
      <c r="K29" s="34">
        <f t="shared" si="6"/>
        <v>0</v>
      </c>
      <c r="L29" s="2"/>
      <c r="M29" s="2"/>
      <c r="N29" s="2"/>
    </row>
    <row r="30" spans="1:14" ht="14.25" customHeight="1">
      <c r="A30" s="6" t="s">
        <v>50</v>
      </c>
      <c r="B30" s="2"/>
      <c r="C30" s="34">
        <f>Inputs!B50</f>
        <v>0</v>
      </c>
      <c r="D30" s="2"/>
      <c r="E30" s="34">
        <f t="shared" si="4"/>
        <v>0</v>
      </c>
      <c r="F30" s="2"/>
      <c r="G30" s="34">
        <f t="shared" si="5"/>
        <v>0</v>
      </c>
      <c r="H30" s="34"/>
      <c r="I30" s="34">
        <f>Inputs!B50*(1-Inputs!$E$61)</f>
        <v>0</v>
      </c>
      <c r="J30" s="34"/>
      <c r="K30" s="34">
        <f t="shared" si="6"/>
        <v>0</v>
      </c>
      <c r="L30" s="2"/>
      <c r="M30" s="2"/>
      <c r="N30" s="2"/>
    </row>
    <row r="31" spans="1:14" ht="14.25" customHeight="1">
      <c r="A31" s="6" t="str">
        <f>Inputs!A51</f>
        <v>HOA Dues</v>
      </c>
      <c r="B31" s="2"/>
      <c r="C31" s="34">
        <f>Inputs!B51</f>
        <v>1680</v>
      </c>
      <c r="D31" s="2"/>
      <c r="E31" s="34">
        <f t="shared" si="4"/>
        <v>1680</v>
      </c>
      <c r="F31" s="2"/>
      <c r="G31" s="34">
        <f t="shared" si="5"/>
        <v>1680</v>
      </c>
      <c r="H31" s="34"/>
      <c r="I31" s="34">
        <f>Inputs!B51*(1-Inputs!$E$61)</f>
        <v>1596</v>
      </c>
      <c r="J31" s="34"/>
      <c r="K31" s="34">
        <f t="shared" si="6"/>
        <v>1596</v>
      </c>
      <c r="L31" s="2"/>
      <c r="M31" s="2"/>
      <c r="N31" s="2"/>
    </row>
    <row r="32" spans="1:14" ht="14.25" customHeight="1">
      <c r="A32" s="6" t="str">
        <f>Inputs!A52</f>
        <v>Other</v>
      </c>
      <c r="B32" s="2"/>
      <c r="C32" s="34">
        <f>Inputs!B52</f>
        <v>0</v>
      </c>
      <c r="D32" s="2"/>
      <c r="E32" s="34">
        <f t="shared" si="4"/>
        <v>0</v>
      </c>
      <c r="F32" s="2"/>
      <c r="G32" s="34">
        <f t="shared" si="5"/>
        <v>0</v>
      </c>
      <c r="H32" s="34"/>
      <c r="I32" s="34">
        <f>Inputs!B52*(1-Inputs!$E$61)</f>
        <v>0</v>
      </c>
      <c r="J32" s="34"/>
      <c r="K32" s="34">
        <f t="shared" si="6"/>
        <v>0</v>
      </c>
      <c r="L32" s="2"/>
      <c r="M32" s="2"/>
      <c r="N32" s="2"/>
    </row>
    <row r="33" spans="1:14" ht="14.25" customHeight="1">
      <c r="A33" s="6" t="str">
        <f>Inputs!A53</f>
        <v>Other</v>
      </c>
      <c r="B33" s="2"/>
      <c r="C33" s="34">
        <f>Inputs!B53</f>
        <v>0</v>
      </c>
      <c r="D33" s="2"/>
      <c r="E33" s="34">
        <f t="shared" si="4"/>
        <v>0</v>
      </c>
      <c r="F33" s="2"/>
      <c r="G33" s="34">
        <f t="shared" si="5"/>
        <v>0</v>
      </c>
      <c r="H33" s="34"/>
      <c r="I33" s="34">
        <f>Inputs!B53*(1-Inputs!$E$61)</f>
        <v>0</v>
      </c>
      <c r="J33" s="34"/>
      <c r="K33" s="34">
        <f t="shared" si="6"/>
        <v>0</v>
      </c>
      <c r="L33" s="2"/>
      <c r="M33" s="2"/>
      <c r="N33" s="2"/>
    </row>
    <row r="34" spans="1:14" ht="14.25" customHeight="1">
      <c r="A34" s="6" t="str">
        <f>Inputs!A54</f>
        <v>Other</v>
      </c>
      <c r="B34" s="2"/>
      <c r="C34" s="34">
        <f>Inputs!B54</f>
        <v>0</v>
      </c>
      <c r="D34" s="2"/>
      <c r="E34" s="34">
        <f t="shared" si="4"/>
        <v>0</v>
      </c>
      <c r="F34" s="2"/>
      <c r="G34" s="34">
        <f t="shared" si="5"/>
        <v>0</v>
      </c>
      <c r="H34" s="34"/>
      <c r="I34" s="34">
        <f>Inputs!B54*(1-Inputs!$E$61)</f>
        <v>0</v>
      </c>
      <c r="J34" s="34"/>
      <c r="K34" s="34">
        <f t="shared" si="6"/>
        <v>0</v>
      </c>
      <c r="L34" s="2"/>
      <c r="M34" s="2"/>
      <c r="N34" s="2"/>
    </row>
    <row r="35" spans="1:14" ht="14.25" customHeight="1">
      <c r="A35" s="6" t="str">
        <f>Inputs!A55</f>
        <v>Other</v>
      </c>
      <c r="B35" s="2"/>
      <c r="C35" s="34">
        <f>Inputs!B55</f>
        <v>0</v>
      </c>
      <c r="D35" s="2"/>
      <c r="E35" s="34">
        <f t="shared" si="4"/>
        <v>0</v>
      </c>
      <c r="F35" s="2"/>
      <c r="G35" s="34">
        <f t="shared" si="5"/>
        <v>0</v>
      </c>
      <c r="H35" s="34"/>
      <c r="I35" s="34">
        <f>Inputs!B55*(1-Inputs!$E$61)</f>
        <v>0</v>
      </c>
      <c r="J35" s="34"/>
      <c r="K35" s="34">
        <f t="shared" si="6"/>
        <v>0</v>
      </c>
      <c r="L35" s="2"/>
      <c r="M35" s="2"/>
      <c r="N35" s="2"/>
    </row>
    <row r="36" spans="1:14" ht="14.25" customHeight="1">
      <c r="A36" s="6" t="str">
        <f>Inputs!A56</f>
        <v>Other</v>
      </c>
      <c r="B36" s="2"/>
      <c r="C36" s="104">
        <f>Inputs!B56</f>
        <v>0</v>
      </c>
      <c r="D36" s="2"/>
      <c r="E36" s="34">
        <f t="shared" si="4"/>
        <v>0</v>
      </c>
      <c r="F36" s="2"/>
      <c r="G36" s="34">
        <f t="shared" si="5"/>
        <v>0</v>
      </c>
      <c r="H36" s="34"/>
      <c r="I36" s="34">
        <f>Inputs!B56*(1-Inputs!$E$61)</f>
        <v>0</v>
      </c>
      <c r="J36" s="34"/>
      <c r="K36" s="34">
        <f t="shared" si="6"/>
        <v>0</v>
      </c>
      <c r="L36" s="2"/>
      <c r="M36" s="2"/>
      <c r="N36" s="2"/>
    </row>
    <row r="37" spans="1:14" ht="14.25" customHeight="1">
      <c r="A37" s="4" t="s">
        <v>56</v>
      </c>
      <c r="B37" s="2"/>
      <c r="C37" s="105">
        <f>'Cash-Flow'!C37</f>
        <v>4456</v>
      </c>
      <c r="D37" s="2"/>
      <c r="E37" s="106">
        <f t="shared" si="4"/>
        <v>4456</v>
      </c>
      <c r="F37" s="2"/>
      <c r="G37" s="107">
        <f t="shared" si="5"/>
        <v>4456</v>
      </c>
      <c r="H37" s="2"/>
      <c r="I37" s="107">
        <f>SUM(I22:I36)</f>
        <v>4295.5</v>
      </c>
      <c r="J37" s="2"/>
      <c r="K37" s="107">
        <f>SUM(K22:K36)</f>
        <v>4295.5</v>
      </c>
      <c r="L37" s="2"/>
      <c r="M37" s="2"/>
      <c r="N37" s="2"/>
    </row>
    <row r="38" spans="1:14" ht="14.25" customHeight="1">
      <c r="A38" s="6"/>
      <c r="B38" s="2"/>
      <c r="C38" s="34"/>
      <c r="D38" s="2"/>
      <c r="E38" s="34"/>
      <c r="F38" s="2"/>
      <c r="G38" s="101"/>
      <c r="H38" s="2"/>
      <c r="I38" s="2"/>
      <c r="J38" s="2"/>
      <c r="K38" s="2"/>
      <c r="L38" s="2"/>
      <c r="M38" s="2"/>
      <c r="N38" s="2"/>
    </row>
    <row r="39" spans="1:14" ht="14.25" customHeight="1">
      <c r="A39" s="4" t="s">
        <v>57</v>
      </c>
      <c r="B39" s="2"/>
      <c r="C39" s="105">
        <f>'Cash-Flow'!C39</f>
        <v>18914</v>
      </c>
      <c r="D39" s="2"/>
      <c r="E39" s="105">
        <f>C39</f>
        <v>18914</v>
      </c>
      <c r="F39" s="2"/>
      <c r="G39" s="105">
        <f>G19-G37</f>
        <v>20082.5</v>
      </c>
      <c r="H39" s="2"/>
      <c r="I39" s="105">
        <f>I19-I37</f>
        <v>19074.5</v>
      </c>
      <c r="J39" s="2"/>
      <c r="K39" s="105">
        <f>K19-K37</f>
        <v>20243</v>
      </c>
      <c r="L39" s="2"/>
      <c r="M39" s="2"/>
      <c r="N39" s="2"/>
    </row>
    <row r="40" spans="1:14" ht="14.25" customHeight="1">
      <c r="A40" s="2"/>
      <c r="B40" s="2"/>
      <c r="C40" s="34"/>
      <c r="D40" s="2"/>
      <c r="E40" s="34"/>
      <c r="F40" s="2"/>
      <c r="G40" s="101"/>
      <c r="H40" s="2"/>
      <c r="I40" s="2"/>
      <c r="J40" s="2"/>
      <c r="K40" s="2"/>
      <c r="L40" s="2"/>
      <c r="M40" s="2"/>
      <c r="N40" s="2"/>
    </row>
    <row r="41" spans="1:14" ht="14.25" customHeight="1">
      <c r="A41" s="6" t="s">
        <v>58</v>
      </c>
      <c r="B41" s="2"/>
      <c r="C41" s="34">
        <f>'Cash-Flow'!C41</f>
        <v>-12676.030277025595</v>
      </c>
      <c r="D41" s="2"/>
      <c r="E41" s="34">
        <f>PMT(Inputs!B24/12,Inputs!B25*12,E8,0)*12</f>
        <v>-12042.228763174315</v>
      </c>
      <c r="F41" s="2"/>
      <c r="G41" s="34">
        <f>C41</f>
        <v>-12676.030277025595</v>
      </c>
      <c r="H41" s="2"/>
      <c r="I41" s="34">
        <f>G41</f>
        <v>-12676.030277025595</v>
      </c>
      <c r="J41" s="2"/>
      <c r="K41" s="34">
        <f>E41</f>
        <v>-12042.228763174315</v>
      </c>
      <c r="L41" s="2"/>
      <c r="M41" s="2"/>
      <c r="N41" s="2"/>
    </row>
    <row r="42" spans="1:14" ht="14.25" customHeight="1">
      <c r="A42" s="2"/>
      <c r="B42" s="2"/>
      <c r="C42" s="34"/>
      <c r="D42" s="2"/>
      <c r="E42" s="34"/>
      <c r="F42" s="2"/>
      <c r="G42" s="101"/>
      <c r="H42" s="2"/>
      <c r="I42" s="2"/>
      <c r="J42" s="2"/>
      <c r="K42" s="2"/>
      <c r="L42" s="2"/>
      <c r="M42" s="2"/>
      <c r="N42" s="2"/>
    </row>
    <row r="43" spans="1:14" ht="14.25" customHeight="1">
      <c r="A43" s="4" t="s">
        <v>67</v>
      </c>
      <c r="B43" s="6"/>
      <c r="C43" s="108">
        <f>'Cash-Flow'!C43</f>
        <v>6237.9697229744052</v>
      </c>
      <c r="D43" s="6"/>
      <c r="E43" s="108">
        <f>E39+E41</f>
        <v>6871.7712368256853</v>
      </c>
      <c r="F43" s="6"/>
      <c r="G43" s="108">
        <f>G39+G41</f>
        <v>7406.4697229744052</v>
      </c>
      <c r="H43" s="6"/>
      <c r="I43" s="108">
        <f>I39+I41</f>
        <v>6398.4697229744052</v>
      </c>
      <c r="J43" s="6"/>
      <c r="K43" s="108">
        <f>K39+K41</f>
        <v>8200.7712368256853</v>
      </c>
      <c r="L43" s="2"/>
      <c r="M43" s="2"/>
      <c r="N43" s="2"/>
    </row>
    <row r="44" spans="1:14" ht="14.25" customHeight="1">
      <c r="A44" s="2"/>
      <c r="B44" s="2"/>
      <c r="C44" s="2"/>
      <c r="D44" s="2"/>
      <c r="E44" s="2"/>
      <c r="F44" s="2"/>
      <c r="G44" s="101"/>
      <c r="H44" s="2"/>
      <c r="I44" s="2"/>
      <c r="J44" s="2"/>
      <c r="K44" s="2"/>
      <c r="L44" s="2"/>
      <c r="M44" s="2"/>
      <c r="N44" s="2"/>
    </row>
    <row r="45" spans="1:14" ht="14.25" customHeight="1">
      <c r="A45" s="109" t="s">
        <v>70</v>
      </c>
      <c r="B45" s="6"/>
      <c r="C45" s="110">
        <f>'Cash-Flow'!C45</f>
        <v>8.6765000667284306E-2</v>
      </c>
      <c r="D45" s="6"/>
      <c r="E45" s="110">
        <f>E43/E13</f>
        <v>9.5960218708127251E-2</v>
      </c>
      <c r="F45" s="6"/>
      <c r="G45" s="110">
        <f>G43/G13</f>
        <v>0.10301786943423612</v>
      </c>
      <c r="H45" s="6"/>
      <c r="I45" s="110">
        <f>I43/I13</f>
        <v>8.8997422949779609E-2</v>
      </c>
      <c r="J45" s="6"/>
      <c r="K45" s="110">
        <f>K43/K13</f>
        <v>0.11451891722528165</v>
      </c>
      <c r="L45" s="2"/>
      <c r="M45" s="2"/>
      <c r="N45" s="2"/>
    </row>
    <row r="46" spans="1:14" ht="14.25" customHeight="1">
      <c r="A46" s="6"/>
      <c r="B46" s="6"/>
      <c r="C46" s="6"/>
      <c r="D46" s="6"/>
      <c r="E46" s="6"/>
      <c r="F46" s="6"/>
      <c r="G46" s="111"/>
      <c r="H46" s="6"/>
      <c r="I46" s="6"/>
      <c r="J46" s="6"/>
      <c r="K46" s="6"/>
      <c r="L46" s="2"/>
      <c r="M46" s="2"/>
      <c r="N46" s="2"/>
    </row>
    <row r="47" spans="1:14" ht="14.25" customHeight="1">
      <c r="A47" s="4" t="s">
        <v>76</v>
      </c>
      <c r="B47" s="6"/>
      <c r="C47" s="112">
        <f>'Cash-Flow'!C47</f>
        <v>6.9793357933579339E-2</v>
      </c>
      <c r="D47" s="6"/>
      <c r="E47" s="112">
        <f>E39/E7</f>
        <v>7.3738791423001951E-2</v>
      </c>
      <c r="F47" s="6"/>
      <c r="G47" s="112">
        <f>G39/G7</f>
        <v>7.4379629629629629E-2</v>
      </c>
      <c r="H47" s="6"/>
      <c r="I47" s="112">
        <f>I39/I7</f>
        <v>7.064629629629629E-2</v>
      </c>
      <c r="J47" s="6"/>
      <c r="K47" s="112">
        <f>K39/K7</f>
        <v>7.8920077972709557E-2</v>
      </c>
      <c r="L47" s="2"/>
      <c r="M47" s="2"/>
      <c r="N47" s="2"/>
    </row>
    <row r="48" spans="1:14" ht="14.25" customHeight="1">
      <c r="A48" s="2"/>
      <c r="B48" s="2"/>
      <c r="C48" s="2"/>
      <c r="D48" s="2"/>
      <c r="E48" s="2"/>
      <c r="F48" s="2"/>
      <c r="G48" s="2"/>
      <c r="H48" s="2"/>
      <c r="I48" s="2"/>
      <c r="J48" s="2"/>
      <c r="K48" s="2"/>
      <c r="L48" s="2"/>
      <c r="M48" s="2"/>
      <c r="N48" s="2"/>
    </row>
    <row r="49" spans="1:14" ht="20.25" customHeight="1">
      <c r="A49" s="131"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49" s="118"/>
      <c r="C49" s="118"/>
      <c r="D49" s="118"/>
      <c r="E49" s="118"/>
      <c r="F49" s="118"/>
      <c r="G49" s="118"/>
      <c r="H49" s="118"/>
      <c r="I49" s="118"/>
      <c r="J49" s="118"/>
      <c r="K49" s="118"/>
      <c r="L49" s="118"/>
      <c r="M49" s="118"/>
      <c r="N49" s="118"/>
    </row>
    <row r="50" spans="1:14" ht="16.5" customHeight="1">
      <c r="A50" s="119"/>
      <c r="B50" s="120"/>
      <c r="C50" s="120"/>
      <c r="D50" s="120"/>
      <c r="E50" s="120"/>
      <c r="F50" s="120"/>
      <c r="G50" s="120"/>
      <c r="H50" s="120"/>
      <c r="I50" s="120"/>
      <c r="J50" s="120"/>
      <c r="K50" s="120"/>
      <c r="L50" s="120"/>
      <c r="M50" s="120"/>
      <c r="N50" s="120"/>
    </row>
    <row r="51" spans="1:14" ht="14.25" customHeight="1">
      <c r="A51" s="20"/>
      <c r="B51" s="20"/>
      <c r="C51" s="20"/>
      <c r="D51" s="20"/>
      <c r="E51" s="20"/>
      <c r="F51" s="20"/>
      <c r="G51" s="20"/>
      <c r="H51" s="20"/>
      <c r="I51" s="20"/>
      <c r="J51" s="20"/>
      <c r="K51" s="20"/>
      <c r="L51" s="20"/>
      <c r="M51" s="20"/>
      <c r="N51" s="20"/>
    </row>
  </sheetData>
  <mergeCells count="7">
    <mergeCell ref="A49:N50"/>
    <mergeCell ref="A3:A4"/>
    <mergeCell ref="C3:C4"/>
    <mergeCell ref="E3:E4"/>
    <mergeCell ref="G3:G4"/>
    <mergeCell ref="I3:I4"/>
    <mergeCell ref="K3: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Inputs</vt:lpstr>
      <vt:lpstr>Cash-Flow</vt:lpstr>
      <vt:lpstr>15 Year Analysis</vt:lpstr>
      <vt:lpstr>15 Year with Extra Principal</vt:lpstr>
      <vt:lpstr>15 Year with CF to Principal</vt:lpstr>
      <vt:lpstr>What-If</vt:lpstr>
      <vt:lpstr>NumberUnits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Charles Roberts</cp:lastModifiedBy>
  <dcterms:modified xsi:type="dcterms:W3CDTF">2018-03-31T20:28:35Z</dcterms:modified>
</cp:coreProperties>
</file>